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Transcos\As Filed\"/>
    </mc:Choice>
  </mc:AlternateContent>
  <xr:revisionPtr revIDLastSave="0" documentId="13_ncr:1_{D94CE40F-0352-4735-87C1-D4FE88D46FB2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Instructions!$A$1:$Q$18</definedName>
    <definedName name="_xlnm.Print_Area" localSheetId="1">Summary!$C$1:$I$40</definedName>
    <definedName name="_xlnm.Print_Area" localSheetId="3">Transactions!$A$1:$R$212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O191" i="18" l="1"/>
  <c r="K1" i="18"/>
  <c r="O59" i="18"/>
  <c r="O67" i="18"/>
  <c r="O210" i="18"/>
  <c r="O202" i="18"/>
  <c r="O178" i="18"/>
  <c r="O146" i="18"/>
  <c r="O138" i="18"/>
  <c r="O98" i="18"/>
  <c r="O90" i="18"/>
  <c r="O38" i="18"/>
  <c r="O209" i="18"/>
  <c r="O181" i="18"/>
  <c r="O177" i="18"/>
  <c r="O145" i="18"/>
  <c r="O121" i="18"/>
  <c r="O97" i="18"/>
  <c r="O81" i="18"/>
  <c r="O73" i="18"/>
  <c r="O49" i="18"/>
  <c r="O25" i="18"/>
  <c r="O208" i="18"/>
  <c r="O180" i="18"/>
  <c r="O160" i="18"/>
  <c r="O152" i="18"/>
  <c r="O120" i="18"/>
  <c r="O100" i="18"/>
  <c r="O96" i="18"/>
  <c r="O72" i="18"/>
  <c r="O52" i="18"/>
  <c r="O48" i="18"/>
  <c r="O23" i="18"/>
  <c r="O119" i="18"/>
  <c r="O135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50" i="18" s="1"/>
  <c r="J19" i="18"/>
  <c r="D43" i="18"/>
  <c r="D67" i="18" s="1"/>
  <c r="D79" i="18" s="1"/>
  <c r="B31" i="18"/>
  <c r="D42" i="18"/>
  <c r="D66" i="18" s="1"/>
  <c r="B30" i="18"/>
  <c r="D41" i="18"/>
  <c r="D65" i="18" s="1"/>
  <c r="D89" i="18" s="1"/>
  <c r="D101" i="18" s="1"/>
  <c r="D113" i="18" s="1"/>
  <c r="D125" i="18" s="1"/>
  <c r="D137" i="18" s="1"/>
  <c r="D149" i="18" s="1"/>
  <c r="D161" i="18" s="1"/>
  <c r="D185" i="18" s="1"/>
  <c r="D197" i="18" s="1"/>
  <c r="D209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B16" i="18"/>
  <c r="J1" i="18"/>
  <c r="C43" i="18"/>
  <c r="B175" i="18"/>
  <c r="B174" i="18"/>
  <c r="B173" i="18"/>
  <c r="B172" i="18"/>
  <c r="B171" i="18"/>
  <c r="C38" i="18"/>
  <c r="B170" i="18"/>
  <c r="C37" i="18"/>
  <c r="C61" i="18" s="1"/>
  <c r="C85" i="18" s="1"/>
  <c r="C97" i="18" s="1"/>
  <c r="C109" i="18" s="1"/>
  <c r="C121" i="18" s="1"/>
  <c r="C133" i="18" s="1"/>
  <c r="C145" i="18" s="1"/>
  <c r="C157" i="18" s="1"/>
  <c r="B169" i="18"/>
  <c r="B168" i="18"/>
  <c r="B167" i="18"/>
  <c r="B166" i="18"/>
  <c r="C33" i="18"/>
  <c r="C45" i="18" s="1"/>
  <c r="B165" i="18"/>
  <c r="C32" i="18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59" i="18" s="1"/>
  <c r="C83" i="18" s="1"/>
  <c r="C95" i="18" s="1"/>
  <c r="C107" i="18" s="1"/>
  <c r="C119" i="18" s="1"/>
  <c r="C131" i="18" s="1"/>
  <c r="C143" i="18" s="1"/>
  <c r="C155" i="18" s="1"/>
  <c r="C34" i="18"/>
  <c r="C46" i="18" s="1"/>
  <c r="C41" i="18"/>
  <c r="C65" i="18" s="1"/>
  <c r="C89" i="18" s="1"/>
  <c r="C101" i="18" s="1"/>
  <c r="C113" i="18" s="1"/>
  <c r="C125" i="18" s="1"/>
  <c r="C137" i="18" s="1"/>
  <c r="C149" i="18" s="1"/>
  <c r="C161" i="18" s="1"/>
  <c r="D36" i="18"/>
  <c r="D60" i="18" s="1"/>
  <c r="D84" i="18" s="1"/>
  <c r="D96" i="18" s="1"/>
  <c r="D108" i="18" s="1"/>
  <c r="D120" i="18" s="1"/>
  <c r="D132" i="18" s="1"/>
  <c r="D144" i="18" s="1"/>
  <c r="D156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D35" i="18"/>
  <c r="D37" i="18"/>
  <c r="D40" i="18"/>
  <c r="D52" i="18" s="1"/>
  <c r="D33" i="18"/>
  <c r="D45" i="18" s="1"/>
  <c r="D34" i="18"/>
  <c r="D46" i="18" s="1"/>
  <c r="O139" i="18"/>
  <c r="O107" i="18"/>
  <c r="O175" i="18"/>
  <c r="O91" i="18"/>
  <c r="O99" i="18"/>
  <c r="O163" i="18"/>
  <c r="O190" i="18"/>
  <c r="O174" i="18"/>
  <c r="O126" i="18"/>
  <c r="O110" i="18"/>
  <c r="O78" i="18"/>
  <c r="O30" i="18"/>
  <c r="O173" i="18"/>
  <c r="O157" i="18"/>
  <c r="O125" i="18"/>
  <c r="O109" i="18"/>
  <c r="O77" i="18"/>
  <c r="O61" i="18"/>
  <c r="O204" i="18"/>
  <c r="O188" i="18"/>
  <c r="O140" i="18"/>
  <c r="O92" i="18"/>
  <c r="O60" i="18"/>
  <c r="O44" i="18"/>
  <c r="O103" i="18"/>
  <c r="O167" i="18"/>
  <c r="O183" i="18"/>
  <c r="O20" i="18"/>
  <c r="O84" i="18"/>
  <c r="O104" i="18"/>
  <c r="O128" i="18"/>
  <c r="O148" i="18"/>
  <c r="O168" i="18"/>
  <c r="O192" i="18"/>
  <c r="O21" i="18"/>
  <c r="O41" i="18"/>
  <c r="O65" i="18"/>
  <c r="O85" i="18"/>
  <c r="O105" i="18"/>
  <c r="O129" i="18"/>
  <c r="O149" i="18"/>
  <c r="O169" i="18"/>
  <c r="O193" i="18"/>
  <c r="O22" i="18"/>
  <c r="O42" i="18"/>
  <c r="O66" i="18"/>
  <c r="O86" i="18"/>
  <c r="O106" i="18"/>
  <c r="O130" i="18"/>
  <c r="O150" i="18"/>
  <c r="O170" i="18"/>
  <c r="O194" i="18"/>
  <c r="O195" i="18"/>
  <c r="O115" i="18"/>
  <c r="O187" i="18"/>
  <c r="O27" i="18"/>
  <c r="O79" i="18"/>
  <c r="O43" i="18"/>
  <c r="O159" i="18"/>
  <c r="O75" i="18"/>
  <c r="O198" i="18"/>
  <c r="O147" i="18"/>
  <c r="O51" i="18"/>
  <c r="O207" i="18"/>
  <c r="O171" i="18"/>
  <c r="O211" i="18"/>
  <c r="O58" i="18"/>
  <c r="O114" i="18"/>
  <c r="O166" i="18"/>
  <c r="O83" i="18"/>
  <c r="O203" i="18"/>
  <c r="O95" i="18"/>
  <c r="O63" i="18"/>
  <c r="O111" i="18"/>
  <c r="O131" i="18"/>
  <c r="O186" i="18"/>
  <c r="O162" i="18"/>
  <c r="O134" i="18"/>
  <c r="O102" i="18"/>
  <c r="O82" i="18"/>
  <c r="O54" i="18"/>
  <c r="O34" i="18"/>
  <c r="O197" i="18"/>
  <c r="O165" i="18"/>
  <c r="O137" i="18"/>
  <c r="O117" i="18"/>
  <c r="O69" i="18"/>
  <c r="O37" i="18"/>
  <c r="O200" i="18"/>
  <c r="O176" i="18"/>
  <c r="O144" i="18"/>
  <c r="O116" i="18"/>
  <c r="O88" i="18"/>
  <c r="O68" i="18"/>
  <c r="O36" i="18"/>
  <c r="O55" i="18"/>
  <c r="O151" i="18"/>
  <c r="O31" i="18"/>
  <c r="O158" i="18"/>
  <c r="O62" i="18"/>
  <c r="O205" i="18"/>
  <c r="O45" i="18"/>
  <c r="O172" i="18"/>
  <c r="O124" i="18"/>
  <c r="O76" i="18"/>
  <c r="O28" i="18"/>
  <c r="O127" i="18"/>
  <c r="O40" i="18"/>
  <c r="O143" i="18"/>
  <c r="O155" i="18"/>
  <c r="O179" i="18"/>
  <c r="O182" i="18"/>
  <c r="O154" i="18"/>
  <c r="O122" i="18"/>
  <c r="O74" i="18"/>
  <c r="O50" i="18"/>
  <c r="O26" i="18"/>
  <c r="O185" i="18"/>
  <c r="O161" i="18"/>
  <c r="O133" i="18"/>
  <c r="O113" i="18"/>
  <c r="O89" i="18"/>
  <c r="O57" i="18"/>
  <c r="O33" i="18"/>
  <c r="O196" i="18"/>
  <c r="O164" i="18"/>
  <c r="O136" i="18"/>
  <c r="O112" i="18"/>
  <c r="O56" i="18"/>
  <c r="O32" i="18"/>
  <c r="O71" i="18"/>
  <c r="O199" i="18"/>
  <c r="O47" i="18"/>
  <c r="O35" i="18"/>
  <c r="O206" i="18"/>
  <c r="O142" i="18"/>
  <c r="O94" i="18"/>
  <c r="O46" i="18"/>
  <c r="O189" i="18"/>
  <c r="O141" i="18"/>
  <c r="O93" i="18"/>
  <c r="O29" i="18"/>
  <c r="O156" i="18"/>
  <c r="O108" i="18"/>
  <c r="O39" i="18"/>
  <c r="O87" i="18"/>
  <c r="O64" i="18"/>
  <c r="D23" i="29"/>
  <c r="D31" i="29"/>
  <c r="G29" i="29"/>
  <c r="E23" i="29"/>
  <c r="H35" i="29"/>
  <c r="E36" i="29"/>
  <c r="E35" i="29"/>
  <c r="E25" i="29"/>
  <c r="H28" i="29"/>
  <c r="G31" i="29"/>
  <c r="G24" i="29"/>
  <c r="E30" i="29"/>
  <c r="H30" i="29"/>
  <c r="D27" i="29"/>
  <c r="H22" i="29"/>
  <c r="G26" i="29"/>
  <c r="E21" i="29"/>
  <c r="D36" i="29"/>
  <c r="D25" i="29"/>
  <c r="G28" i="29"/>
  <c r="D30" i="29"/>
  <c r="H31" i="29"/>
  <c r="D35" i="29"/>
  <c r="D37" i="29"/>
  <c r="H23" i="29"/>
  <c r="E32" i="29"/>
  <c r="D26" i="29"/>
  <c r="H29" i="29"/>
  <c r="D28" i="29"/>
  <c r="D21" i="29"/>
  <c r="E26" i="29"/>
  <c r="E37" i="29"/>
  <c r="D24" i="29"/>
  <c r="E31" i="29"/>
  <c r="E29" i="29"/>
  <c r="G35" i="29"/>
  <c r="H21" i="29"/>
  <c r="D32" i="29"/>
  <c r="D33" i="29"/>
  <c r="G21" i="29"/>
  <c r="D22" i="29"/>
  <c r="G25" i="29"/>
  <c r="H37" i="29"/>
  <c r="H27" i="29"/>
  <c r="E33" i="29"/>
  <c r="G33" i="29"/>
  <c r="G36" i="29"/>
  <c r="G32" i="29"/>
  <c r="H26" i="29"/>
  <c r="H24" i="29"/>
  <c r="E22" i="29"/>
  <c r="E24" i="29"/>
  <c r="G23" i="29"/>
  <c r="H32" i="29"/>
  <c r="G22" i="29"/>
  <c r="G27" i="29"/>
  <c r="G30" i="29"/>
  <c r="H33" i="29"/>
  <c r="H36" i="29"/>
  <c r="G37" i="29"/>
  <c r="D29" i="29"/>
  <c r="H25" i="29"/>
  <c r="E27" i="29"/>
  <c r="E28" i="29"/>
  <c r="D63" i="18" l="1"/>
  <c r="D75" i="18" s="1"/>
  <c r="D57" i="18"/>
  <c r="D69" i="18" s="1"/>
  <c r="C49" i="18"/>
  <c r="C57" i="18"/>
  <c r="C81" i="18" s="1"/>
  <c r="C93" i="18" s="1"/>
  <c r="C105" i="18" s="1"/>
  <c r="C117" i="18" s="1"/>
  <c r="C129" i="18" s="1"/>
  <c r="C141" i="18" s="1"/>
  <c r="C153" i="18" s="1"/>
  <c r="C165" i="18" s="1"/>
  <c r="C73" i="18"/>
  <c r="C72" i="18"/>
  <c r="C66" i="18"/>
  <c r="C63" i="18"/>
  <c r="C87" i="18" s="1"/>
  <c r="C99" i="18" s="1"/>
  <c r="C111" i="18" s="1"/>
  <c r="C123" i="18" s="1"/>
  <c r="C135" i="18" s="1"/>
  <c r="C147" i="18" s="1"/>
  <c r="C159" i="18" s="1"/>
  <c r="D53" i="18"/>
  <c r="C53" i="18"/>
  <c r="D55" i="18"/>
  <c r="D64" i="18"/>
  <c r="D76" i="18" s="1"/>
  <c r="D54" i="18"/>
  <c r="C58" i="18"/>
  <c r="C70" i="18" s="1"/>
  <c r="D77" i="18"/>
  <c r="D48" i="18"/>
  <c r="C71" i="18"/>
  <c r="D62" i="18"/>
  <c r="D74" i="18" s="1"/>
  <c r="E10" i="29"/>
  <c r="F10" i="29"/>
  <c r="E20" i="29"/>
  <c r="D20" i="29"/>
  <c r="C173" i="18"/>
  <c r="C185" i="18"/>
  <c r="C197" i="18" s="1"/>
  <c r="C209" i="18" s="1"/>
  <c r="C180" i="18"/>
  <c r="C192" i="18" s="1"/>
  <c r="C204" i="18" s="1"/>
  <c r="C168" i="18"/>
  <c r="D91" i="18"/>
  <c r="D103" i="18" s="1"/>
  <c r="D115" i="18" s="1"/>
  <c r="D127" i="18" s="1"/>
  <c r="D139" i="18" s="1"/>
  <c r="D151" i="18" s="1"/>
  <c r="D163" i="18" s="1"/>
  <c r="D187" i="18" s="1"/>
  <c r="D199" i="18" s="1"/>
  <c r="D211" i="18" s="1"/>
  <c r="D58" i="18"/>
  <c r="C48" i="18"/>
  <c r="D72" i="18"/>
  <c r="C77" i="18"/>
  <c r="C47" i="18"/>
  <c r="G34" i="29"/>
  <c r="E38" i="29"/>
  <c r="F29" i="29"/>
  <c r="I29" i="29" s="1"/>
  <c r="F31" i="29"/>
  <c r="I31" i="29" s="1"/>
  <c r="F22" i="29"/>
  <c r="I22" i="29" s="1"/>
  <c r="F23" i="29"/>
  <c r="I23" i="29" s="1"/>
  <c r="F36" i="29"/>
  <c r="I36" i="29" s="1"/>
  <c r="G38" i="29"/>
  <c r="F25" i="29"/>
  <c r="I25" i="29" s="1"/>
  <c r="F30" i="29"/>
  <c r="I30" i="29" s="1"/>
  <c r="F27" i="29"/>
  <c r="I27" i="29" s="1"/>
  <c r="F21" i="29"/>
  <c r="D34" i="29"/>
  <c r="D38" i="29"/>
  <c r="F35" i="29"/>
  <c r="F33" i="29"/>
  <c r="I33" i="29" s="1"/>
  <c r="F32" i="29"/>
  <c r="I32" i="29" s="1"/>
  <c r="H38" i="29"/>
  <c r="F37" i="29"/>
  <c r="I37" i="29" s="1"/>
  <c r="E34" i="29"/>
  <c r="F24" i="29"/>
  <c r="I24" i="29" s="1"/>
  <c r="H34" i="29"/>
  <c r="F28" i="29"/>
  <c r="I28" i="29" s="1"/>
  <c r="F26" i="29"/>
  <c r="I26" i="29" s="1"/>
  <c r="C181" i="18"/>
  <c r="C193" i="18" s="1"/>
  <c r="C205" i="18" s="1"/>
  <c r="C169" i="18"/>
  <c r="C167" i="18"/>
  <c r="C179" i="18"/>
  <c r="C191" i="18" s="1"/>
  <c r="C203" i="18" s="1"/>
  <c r="D168" i="18"/>
  <c r="D180" i="18"/>
  <c r="D192" i="18" s="1"/>
  <c r="D204" i="18" s="1"/>
  <c r="D173" i="18"/>
  <c r="D44" i="18"/>
  <c r="D56" i="18"/>
  <c r="D47" i="18"/>
  <c r="D59" i="18"/>
  <c r="C55" i="18"/>
  <c r="C67" i="18"/>
  <c r="D90" i="18"/>
  <c r="D102" i="18" s="1"/>
  <c r="D114" i="18" s="1"/>
  <c r="D126" i="18" s="1"/>
  <c r="D138" i="18" s="1"/>
  <c r="D150" i="18" s="1"/>
  <c r="D162" i="18" s="1"/>
  <c r="D78" i="18"/>
  <c r="C52" i="18"/>
  <c r="C64" i="18"/>
  <c r="C56" i="18"/>
  <c r="C44" i="18"/>
  <c r="D61" i="18"/>
  <c r="D49" i="18"/>
  <c r="C50" i="18"/>
  <c r="C62" i="18"/>
  <c r="O123" i="18"/>
  <c r="O118" i="18"/>
  <c r="O70" i="18"/>
  <c r="O201" i="18"/>
  <c r="O153" i="18"/>
  <c r="O101" i="18"/>
  <c r="O53" i="18"/>
  <c r="O184" i="18"/>
  <c r="O132" i="18"/>
  <c r="O80" i="18"/>
  <c r="O24" i="18"/>
  <c r="D87" i="18" l="1"/>
  <c r="D99" i="18" s="1"/>
  <c r="D111" i="18" s="1"/>
  <c r="D123" i="18" s="1"/>
  <c r="D135" i="18" s="1"/>
  <c r="D147" i="18" s="1"/>
  <c r="D159" i="18" s="1"/>
  <c r="D171" i="18" s="1"/>
  <c r="C82" i="18"/>
  <c r="C94" i="18" s="1"/>
  <c r="C106" i="18" s="1"/>
  <c r="C118" i="18" s="1"/>
  <c r="C130" i="18" s="1"/>
  <c r="C142" i="18" s="1"/>
  <c r="C154" i="18" s="1"/>
  <c r="C178" i="18" s="1"/>
  <c r="C190" i="18" s="1"/>
  <c r="C202" i="18" s="1"/>
  <c r="C75" i="18"/>
  <c r="D81" i="18"/>
  <c r="D93" i="18" s="1"/>
  <c r="D105" i="18" s="1"/>
  <c r="D117" i="18" s="1"/>
  <c r="D129" i="18" s="1"/>
  <c r="D141" i="18" s="1"/>
  <c r="D153" i="18" s="1"/>
  <c r="D165" i="18" s="1"/>
  <c r="D175" i="18"/>
  <c r="C69" i="18"/>
  <c r="C177" i="18"/>
  <c r="C189" i="18" s="1"/>
  <c r="C201" i="18" s="1"/>
  <c r="H39" i="29"/>
  <c r="D88" i="18"/>
  <c r="D100" i="18" s="1"/>
  <c r="D112" i="18" s="1"/>
  <c r="D124" i="18" s="1"/>
  <c r="D136" i="18" s="1"/>
  <c r="D148" i="18" s="1"/>
  <c r="D160" i="18" s="1"/>
  <c r="D184" i="18" s="1"/>
  <c r="D196" i="18" s="1"/>
  <c r="D208" i="18" s="1"/>
  <c r="D86" i="18"/>
  <c r="D98" i="18" s="1"/>
  <c r="D110" i="18" s="1"/>
  <c r="D122" i="18" s="1"/>
  <c r="D134" i="18" s="1"/>
  <c r="D146" i="18" s="1"/>
  <c r="D158" i="18" s="1"/>
  <c r="D170" i="18" s="1"/>
  <c r="C90" i="18"/>
  <c r="C102" i="18" s="1"/>
  <c r="C114" i="18" s="1"/>
  <c r="C126" i="18" s="1"/>
  <c r="C138" i="18" s="1"/>
  <c r="C150" i="18" s="1"/>
  <c r="C162" i="18" s="1"/>
  <c r="C78" i="18"/>
  <c r="E39" i="29"/>
  <c r="O13" i="18"/>
  <c r="D82" i="18"/>
  <c r="D94" i="18" s="1"/>
  <c r="D106" i="18" s="1"/>
  <c r="D118" i="18" s="1"/>
  <c r="D130" i="18" s="1"/>
  <c r="D142" i="18" s="1"/>
  <c r="D154" i="18" s="1"/>
  <c r="D70" i="18"/>
  <c r="C74" i="18"/>
  <c r="C86" i="18"/>
  <c r="C98" i="18" s="1"/>
  <c r="C110" i="18" s="1"/>
  <c r="C122" i="18" s="1"/>
  <c r="C134" i="18" s="1"/>
  <c r="C146" i="18" s="1"/>
  <c r="C158" i="18" s="1"/>
  <c r="D83" i="18"/>
  <c r="D95" i="18" s="1"/>
  <c r="D107" i="18" s="1"/>
  <c r="D119" i="18" s="1"/>
  <c r="D131" i="18" s="1"/>
  <c r="D143" i="18" s="1"/>
  <c r="D155" i="18" s="1"/>
  <c r="D71" i="18"/>
  <c r="I21" i="29"/>
  <c r="F34" i="29"/>
  <c r="O14" i="18"/>
  <c r="D186" i="18"/>
  <c r="D198" i="18" s="1"/>
  <c r="D210" i="18" s="1"/>
  <c r="D174" i="18"/>
  <c r="C183" i="18"/>
  <c r="C195" i="18" s="1"/>
  <c r="C207" i="18" s="1"/>
  <c r="C171" i="18"/>
  <c r="F38" i="29"/>
  <c r="I35" i="29"/>
  <c r="C76" i="18"/>
  <c r="C88" i="18"/>
  <c r="C100" i="18" s="1"/>
  <c r="C112" i="18" s="1"/>
  <c r="C124" i="18" s="1"/>
  <c r="C136" i="18" s="1"/>
  <c r="C148" i="18" s="1"/>
  <c r="C160" i="18" s="1"/>
  <c r="C91" i="18"/>
  <c r="C103" i="18" s="1"/>
  <c r="C115" i="18" s="1"/>
  <c r="C127" i="18" s="1"/>
  <c r="C139" i="18" s="1"/>
  <c r="C151" i="18" s="1"/>
  <c r="C163" i="18" s="1"/>
  <c r="C79" i="18"/>
  <c r="D73" i="18"/>
  <c r="D85" i="18"/>
  <c r="D97" i="18" s="1"/>
  <c r="D109" i="18" s="1"/>
  <c r="D121" i="18" s="1"/>
  <c r="D133" i="18" s="1"/>
  <c r="D145" i="18" s="1"/>
  <c r="D157" i="18" s="1"/>
  <c r="C80" i="18"/>
  <c r="C92" i="18" s="1"/>
  <c r="C104" i="18" s="1"/>
  <c r="C116" i="18" s="1"/>
  <c r="C128" i="18" s="1"/>
  <c r="C140" i="18" s="1"/>
  <c r="C152" i="18" s="1"/>
  <c r="C68" i="18"/>
  <c r="D68" i="18"/>
  <c r="D80" i="18"/>
  <c r="D92" i="18" s="1"/>
  <c r="D104" i="18" s="1"/>
  <c r="D116" i="18" s="1"/>
  <c r="D128" i="18" s="1"/>
  <c r="D140" i="18" s="1"/>
  <c r="D152" i="18" s="1"/>
  <c r="D39" i="29"/>
  <c r="G39" i="29"/>
  <c r="D183" i="18" l="1"/>
  <c r="D195" i="18" s="1"/>
  <c r="D207" i="18" s="1"/>
  <c r="C166" i="18"/>
  <c r="D177" i="18"/>
  <c r="D189" i="18" s="1"/>
  <c r="D201" i="18" s="1"/>
  <c r="D172" i="18"/>
  <c r="D182" i="18"/>
  <c r="D194" i="18" s="1"/>
  <c r="D206" i="18" s="1"/>
  <c r="C174" i="18"/>
  <c r="C186" i="18"/>
  <c r="C198" i="18" s="1"/>
  <c r="C210" i="18" s="1"/>
  <c r="F39" i="29"/>
  <c r="D178" i="18"/>
  <c r="D190" i="18" s="1"/>
  <c r="D202" i="18" s="1"/>
  <c r="D166" i="18"/>
  <c r="C172" i="18"/>
  <c r="C184" i="18"/>
  <c r="C196" i="18" s="1"/>
  <c r="C208" i="18" s="1"/>
  <c r="I38" i="29"/>
  <c r="C170" i="18"/>
  <c r="C182" i="18"/>
  <c r="C194" i="18" s="1"/>
  <c r="C206" i="18" s="1"/>
  <c r="I34" i="29"/>
  <c r="C164" i="18"/>
  <c r="C176" i="18"/>
  <c r="C188" i="18" s="1"/>
  <c r="C200" i="18" s="1"/>
  <c r="D164" i="18"/>
  <c r="D176" i="18"/>
  <c r="D188" i="18" s="1"/>
  <c r="D200" i="18" s="1"/>
  <c r="D181" i="18"/>
  <c r="D193" i="18" s="1"/>
  <c r="D205" i="18" s="1"/>
  <c r="D169" i="18"/>
  <c r="C187" i="18"/>
  <c r="C199" i="18" s="1"/>
  <c r="C211" i="18" s="1"/>
  <c r="C175" i="18"/>
  <c r="D179" i="18"/>
  <c r="D191" i="18" s="1"/>
  <c r="D203" i="18" s="1"/>
  <c r="D167" i="18"/>
  <c r="I39" i="29" l="1"/>
  <c r="E11" i="29" l="1"/>
  <c r="H208" i="18" l="1"/>
  <c r="H81" i="18"/>
  <c r="H165" i="18"/>
  <c r="H33" i="18"/>
  <c r="H73" i="18"/>
  <c r="H29" i="18"/>
  <c r="H157" i="18"/>
  <c r="H70" i="18"/>
  <c r="H122" i="18"/>
  <c r="H182" i="18"/>
  <c r="H27" i="18"/>
  <c r="H59" i="18"/>
  <c r="H91" i="18"/>
  <c r="H123" i="18"/>
  <c r="H155" i="18"/>
  <c r="H187" i="18"/>
  <c r="H193" i="18"/>
  <c r="H46" i="18"/>
  <c r="H130" i="18"/>
  <c r="H20" i="18"/>
  <c r="H52" i="18"/>
  <c r="H84" i="18"/>
  <c r="H116" i="18"/>
  <c r="H148" i="18"/>
  <c r="H180" i="18"/>
  <c r="H85" i="18"/>
  <c r="H43" i="18"/>
  <c r="H209" i="18"/>
  <c r="H68" i="18"/>
  <c r="H164" i="18"/>
  <c r="H80" i="18"/>
  <c r="H113" i="18"/>
  <c r="H49" i="18"/>
  <c r="H65" i="18"/>
  <c r="H89" i="18"/>
  <c r="H45" i="18"/>
  <c r="H173" i="18"/>
  <c r="H74" i="18"/>
  <c r="H126" i="18"/>
  <c r="H186" i="18"/>
  <c r="H31" i="18"/>
  <c r="H63" i="18"/>
  <c r="H95" i="18"/>
  <c r="H127" i="18"/>
  <c r="H159" i="18"/>
  <c r="H191" i="18"/>
  <c r="H197" i="18"/>
  <c r="H54" i="18"/>
  <c r="H142" i="18"/>
  <c r="H24" i="18"/>
  <c r="H56" i="18"/>
  <c r="H88" i="18"/>
  <c r="H120" i="18"/>
  <c r="H152" i="18"/>
  <c r="H184" i="18"/>
  <c r="H37" i="18"/>
  <c r="H93" i="18"/>
  <c r="H146" i="18"/>
  <c r="H75" i="18"/>
  <c r="H171" i="18"/>
  <c r="H36" i="18"/>
  <c r="H196" i="18"/>
  <c r="H145" i="18"/>
  <c r="H21" i="18"/>
  <c r="H97" i="18"/>
  <c r="H105" i="18"/>
  <c r="H61" i="18"/>
  <c r="H26" i="18"/>
  <c r="H78" i="18"/>
  <c r="H134" i="18"/>
  <c r="H190" i="18"/>
  <c r="H35" i="18"/>
  <c r="H67" i="18"/>
  <c r="H99" i="18"/>
  <c r="H131" i="18"/>
  <c r="H163" i="18"/>
  <c r="H195" i="18"/>
  <c r="H201" i="18"/>
  <c r="H66" i="18"/>
  <c r="H150" i="18"/>
  <c r="H28" i="18"/>
  <c r="H60" i="18"/>
  <c r="H92" i="18"/>
  <c r="H124" i="18"/>
  <c r="H156" i="18"/>
  <c r="H188" i="18"/>
  <c r="H161" i="18"/>
  <c r="H94" i="18"/>
  <c r="H107" i="18"/>
  <c r="H203" i="18"/>
  <c r="H166" i="18"/>
  <c r="H100" i="18"/>
  <c r="H48" i="18"/>
  <c r="H177" i="18"/>
  <c r="H53" i="18"/>
  <c r="H129" i="18"/>
  <c r="H121" i="18"/>
  <c r="H77" i="18"/>
  <c r="H34" i="18"/>
  <c r="H86" i="18"/>
  <c r="H138" i="18"/>
  <c r="H194" i="18"/>
  <c r="H39" i="18"/>
  <c r="H71" i="18"/>
  <c r="H103" i="18"/>
  <c r="H135" i="18"/>
  <c r="H167" i="18"/>
  <c r="H199" i="18"/>
  <c r="H205" i="18"/>
  <c r="H82" i="18"/>
  <c r="H158" i="18"/>
  <c r="H32" i="18"/>
  <c r="H64" i="18"/>
  <c r="H96" i="18"/>
  <c r="H128" i="18"/>
  <c r="H160" i="18"/>
  <c r="H192" i="18"/>
  <c r="H137" i="18"/>
  <c r="H42" i="18"/>
  <c r="H198" i="18"/>
  <c r="H139" i="18"/>
  <c r="H90" i="18"/>
  <c r="H132" i="18"/>
  <c r="H112" i="18"/>
  <c r="H69" i="18"/>
  <c r="H117" i="18"/>
  <c r="H25" i="18"/>
  <c r="H153" i="18"/>
  <c r="H109" i="18"/>
  <c r="H50" i="18"/>
  <c r="H98" i="18"/>
  <c r="H154" i="18"/>
  <c r="H202" i="18"/>
  <c r="H47" i="18"/>
  <c r="H79" i="18"/>
  <c r="H111" i="18"/>
  <c r="H143" i="18"/>
  <c r="H175" i="18"/>
  <c r="H207" i="18"/>
  <c r="H22" i="18"/>
  <c r="H102" i="18"/>
  <c r="H170" i="18"/>
  <c r="H40" i="18"/>
  <c r="H72" i="18"/>
  <c r="H104" i="18"/>
  <c r="H136" i="18"/>
  <c r="H168" i="18"/>
  <c r="H200" i="18"/>
  <c r="H133" i="18"/>
  <c r="H62" i="18"/>
  <c r="H174" i="18"/>
  <c r="H55" i="18"/>
  <c r="H119" i="18"/>
  <c r="H183" i="18"/>
  <c r="H38" i="18"/>
  <c r="H206" i="18"/>
  <c r="H176" i="18"/>
  <c r="H101" i="18"/>
  <c r="H149" i="18"/>
  <c r="H41" i="18"/>
  <c r="H169" i="18"/>
  <c r="H125" i="18"/>
  <c r="H58" i="18"/>
  <c r="H106" i="18"/>
  <c r="H162" i="18"/>
  <c r="H210" i="18"/>
  <c r="H51" i="18"/>
  <c r="H83" i="18"/>
  <c r="H115" i="18"/>
  <c r="H147" i="18"/>
  <c r="H179" i="18"/>
  <c r="H211" i="18"/>
  <c r="H30" i="18"/>
  <c r="H110" i="18"/>
  <c r="H178" i="18"/>
  <c r="H44" i="18"/>
  <c r="H76" i="18"/>
  <c r="H108" i="18"/>
  <c r="H140" i="18"/>
  <c r="H172" i="18"/>
  <c r="H204" i="18"/>
  <c r="H181" i="18"/>
  <c r="H57" i="18"/>
  <c r="H185" i="18"/>
  <c r="H141" i="18"/>
  <c r="H114" i="18"/>
  <c r="H23" i="18"/>
  <c r="H87" i="18"/>
  <c r="H151" i="18"/>
  <c r="H189" i="18"/>
  <c r="H118" i="18"/>
  <c r="H144" i="18"/>
  <c r="E13" i="29"/>
  <c r="P28" i="18" l="1"/>
  <c r="K28" i="18"/>
  <c r="P36" i="18"/>
  <c r="K36" i="18"/>
  <c r="P44" i="18"/>
  <c r="K44" i="18"/>
  <c r="P52" i="18"/>
  <c r="K52" i="18"/>
  <c r="P72" i="18"/>
  <c r="K72" i="18"/>
  <c r="P80" i="18"/>
  <c r="K80" i="18"/>
  <c r="P88" i="18"/>
  <c r="K88" i="18"/>
  <c r="P96" i="18"/>
  <c r="K96" i="18"/>
  <c r="P104" i="18"/>
  <c r="K104" i="18"/>
  <c r="P112" i="18"/>
  <c r="K112" i="18"/>
  <c r="P120" i="18"/>
  <c r="K120" i="18"/>
  <c r="P128" i="18"/>
  <c r="K128" i="18"/>
  <c r="P136" i="18"/>
  <c r="K136" i="18"/>
  <c r="P144" i="18"/>
  <c r="K144" i="18"/>
  <c r="P152" i="18"/>
  <c r="K152" i="18"/>
  <c r="P160" i="18"/>
  <c r="K160" i="18"/>
  <c r="P168" i="18"/>
  <c r="K168" i="18"/>
  <c r="P176" i="18"/>
  <c r="K176" i="18"/>
  <c r="P184" i="18"/>
  <c r="K184" i="18"/>
  <c r="P192" i="18"/>
  <c r="K192" i="18"/>
  <c r="P200" i="18"/>
  <c r="K200" i="18"/>
  <c r="P208" i="18"/>
  <c r="K208" i="18"/>
  <c r="P60" i="18"/>
  <c r="K60" i="18"/>
  <c r="P27" i="18"/>
  <c r="K27" i="18"/>
  <c r="P35" i="18"/>
  <c r="K35" i="18"/>
  <c r="P29" i="18"/>
  <c r="K29" i="18"/>
  <c r="P37" i="18"/>
  <c r="K37" i="18"/>
  <c r="P45" i="18"/>
  <c r="K45" i="18"/>
  <c r="P53" i="18"/>
  <c r="K53" i="18"/>
  <c r="P73" i="18"/>
  <c r="K73" i="18"/>
  <c r="P81" i="18"/>
  <c r="K81" i="18"/>
  <c r="P89" i="18"/>
  <c r="K89" i="18"/>
  <c r="P97" i="18"/>
  <c r="K97" i="18"/>
  <c r="P105" i="18"/>
  <c r="K105" i="18"/>
  <c r="P113" i="18"/>
  <c r="K113" i="18"/>
  <c r="P121" i="18"/>
  <c r="K121" i="18"/>
  <c r="P129" i="18"/>
  <c r="K129" i="18"/>
  <c r="P137" i="18"/>
  <c r="K137" i="18"/>
  <c r="P145" i="18"/>
  <c r="K145" i="18"/>
  <c r="P153" i="18"/>
  <c r="K153" i="18"/>
  <c r="P161" i="18"/>
  <c r="K161" i="18"/>
  <c r="P169" i="18"/>
  <c r="K169" i="18"/>
  <c r="P177" i="18"/>
  <c r="K177" i="18"/>
  <c r="P185" i="18"/>
  <c r="K185" i="18"/>
  <c r="P193" i="18"/>
  <c r="K193" i="18"/>
  <c r="P201" i="18"/>
  <c r="K201" i="18"/>
  <c r="P209" i="18"/>
  <c r="K209" i="18"/>
  <c r="P61" i="18"/>
  <c r="K61" i="18"/>
  <c r="P51" i="18"/>
  <c r="K51" i="18"/>
  <c r="P22" i="18"/>
  <c r="K22" i="18"/>
  <c r="P38" i="18"/>
  <c r="K38" i="18"/>
  <c r="P90" i="18"/>
  <c r="K90" i="18"/>
  <c r="P114" i="18"/>
  <c r="K114" i="18"/>
  <c r="P122" i="18"/>
  <c r="K122" i="18"/>
  <c r="P146" i="18"/>
  <c r="K146" i="18"/>
  <c r="P154" i="18"/>
  <c r="K154" i="18"/>
  <c r="P162" i="18"/>
  <c r="K162" i="18"/>
  <c r="P170" i="18"/>
  <c r="K170" i="18"/>
  <c r="P178" i="18"/>
  <c r="K178" i="18"/>
  <c r="P186" i="18"/>
  <c r="K186" i="18"/>
  <c r="P194" i="18"/>
  <c r="K194" i="18"/>
  <c r="P202" i="18"/>
  <c r="K202" i="18"/>
  <c r="P210" i="18"/>
  <c r="K210" i="18"/>
  <c r="P62" i="18"/>
  <c r="K62" i="18"/>
  <c r="P79" i="18"/>
  <c r="K79" i="18"/>
  <c r="P54" i="18"/>
  <c r="K54" i="18"/>
  <c r="P82" i="18"/>
  <c r="K82" i="18"/>
  <c r="P98" i="18"/>
  <c r="K98" i="18"/>
  <c r="P106" i="18"/>
  <c r="K106" i="18"/>
  <c r="P130" i="18"/>
  <c r="K130" i="18"/>
  <c r="P31" i="18"/>
  <c r="K31" i="18"/>
  <c r="P39" i="18"/>
  <c r="K39" i="18"/>
  <c r="P47" i="18"/>
  <c r="K47" i="18"/>
  <c r="P55" i="18"/>
  <c r="K55" i="18"/>
  <c r="P75" i="18"/>
  <c r="K75" i="18"/>
  <c r="P83" i="18"/>
  <c r="K83" i="18"/>
  <c r="P91" i="18"/>
  <c r="K91" i="18"/>
  <c r="P99" i="18"/>
  <c r="K99" i="18"/>
  <c r="P107" i="18"/>
  <c r="K107" i="18"/>
  <c r="P115" i="18"/>
  <c r="K115" i="18"/>
  <c r="P123" i="18"/>
  <c r="K123" i="18"/>
  <c r="P131" i="18"/>
  <c r="K131" i="18"/>
  <c r="P139" i="18"/>
  <c r="K139" i="18"/>
  <c r="P147" i="18"/>
  <c r="K147" i="18"/>
  <c r="P155" i="18"/>
  <c r="K155" i="18"/>
  <c r="P163" i="18"/>
  <c r="K163" i="18"/>
  <c r="P171" i="18"/>
  <c r="K171" i="18"/>
  <c r="P179" i="18"/>
  <c r="K179" i="18"/>
  <c r="P187" i="18"/>
  <c r="K187" i="18"/>
  <c r="P195" i="18"/>
  <c r="K195" i="18"/>
  <c r="P203" i="18"/>
  <c r="K203" i="18"/>
  <c r="P211" i="18"/>
  <c r="K211" i="18"/>
  <c r="P63" i="18"/>
  <c r="K63" i="18"/>
  <c r="P21" i="18"/>
  <c r="K21" i="18"/>
  <c r="P30" i="18"/>
  <c r="K30" i="18"/>
  <c r="P74" i="18"/>
  <c r="K74" i="18"/>
  <c r="P138" i="18"/>
  <c r="K138" i="18"/>
  <c r="P23" i="18"/>
  <c r="K23" i="18"/>
  <c r="P24" i="18"/>
  <c r="K24" i="18"/>
  <c r="P32" i="18"/>
  <c r="K32" i="18"/>
  <c r="P40" i="18"/>
  <c r="K40" i="18"/>
  <c r="P48" i="18"/>
  <c r="K48" i="18"/>
  <c r="P68" i="18"/>
  <c r="K68" i="18"/>
  <c r="P76" i="18"/>
  <c r="K76" i="18"/>
  <c r="P84" i="18"/>
  <c r="K84" i="18"/>
  <c r="P92" i="18"/>
  <c r="K92" i="18"/>
  <c r="P100" i="18"/>
  <c r="K100" i="18"/>
  <c r="P108" i="18"/>
  <c r="K108" i="18"/>
  <c r="P116" i="18"/>
  <c r="K116" i="18"/>
  <c r="P124" i="18"/>
  <c r="K124" i="18"/>
  <c r="P132" i="18"/>
  <c r="K132" i="18"/>
  <c r="P140" i="18"/>
  <c r="K140" i="18"/>
  <c r="P148" i="18"/>
  <c r="K148" i="18"/>
  <c r="P156" i="18"/>
  <c r="K156" i="18"/>
  <c r="P164" i="18"/>
  <c r="K164" i="18"/>
  <c r="P172" i="18"/>
  <c r="K172" i="18"/>
  <c r="P180" i="18"/>
  <c r="K180" i="18"/>
  <c r="P188" i="18"/>
  <c r="K188" i="18"/>
  <c r="P196" i="18"/>
  <c r="K196" i="18"/>
  <c r="P204" i="18"/>
  <c r="K204" i="18"/>
  <c r="P56" i="18"/>
  <c r="K56" i="18"/>
  <c r="P64" i="18"/>
  <c r="K64" i="18"/>
  <c r="P46" i="18"/>
  <c r="K46" i="18"/>
  <c r="P25" i="18"/>
  <c r="K25" i="18"/>
  <c r="P33" i="18"/>
  <c r="K33" i="18"/>
  <c r="P41" i="18"/>
  <c r="K41" i="18"/>
  <c r="P49" i="18"/>
  <c r="K49" i="18"/>
  <c r="P69" i="18"/>
  <c r="K69" i="18"/>
  <c r="P77" i="18"/>
  <c r="K77" i="18"/>
  <c r="P85" i="18"/>
  <c r="K85" i="18"/>
  <c r="P93" i="18"/>
  <c r="K93" i="18"/>
  <c r="P101" i="18"/>
  <c r="K101" i="18"/>
  <c r="P109" i="18"/>
  <c r="K109" i="18"/>
  <c r="P117" i="18"/>
  <c r="K117" i="18"/>
  <c r="P125" i="18"/>
  <c r="K125" i="18"/>
  <c r="P133" i="18"/>
  <c r="K133" i="18"/>
  <c r="P141" i="18"/>
  <c r="K141" i="18"/>
  <c r="P149" i="18"/>
  <c r="K149" i="18"/>
  <c r="P157" i="18"/>
  <c r="K157" i="18"/>
  <c r="P165" i="18"/>
  <c r="K165" i="18"/>
  <c r="P173" i="18"/>
  <c r="K173" i="18"/>
  <c r="P181" i="18"/>
  <c r="K181" i="18"/>
  <c r="P189" i="18"/>
  <c r="K189" i="18"/>
  <c r="P197" i="18"/>
  <c r="K197" i="18"/>
  <c r="P205" i="18"/>
  <c r="K205" i="18"/>
  <c r="P57" i="18"/>
  <c r="K57" i="18"/>
  <c r="P65" i="18"/>
  <c r="K65" i="18"/>
  <c r="P71" i="18"/>
  <c r="K71" i="18"/>
  <c r="P26" i="18"/>
  <c r="K26" i="18"/>
  <c r="P34" i="18"/>
  <c r="K34" i="18"/>
  <c r="P42" i="18"/>
  <c r="K42" i="18"/>
  <c r="P50" i="18"/>
  <c r="K50" i="18"/>
  <c r="P70" i="18"/>
  <c r="K70" i="18"/>
  <c r="P78" i="18"/>
  <c r="K78" i="18"/>
  <c r="P86" i="18"/>
  <c r="K86" i="18"/>
  <c r="P94" i="18"/>
  <c r="K94" i="18"/>
  <c r="P102" i="18"/>
  <c r="K102" i="18"/>
  <c r="P110" i="18"/>
  <c r="K110" i="18"/>
  <c r="P118" i="18"/>
  <c r="K118" i="18"/>
  <c r="P126" i="18"/>
  <c r="K126" i="18"/>
  <c r="P134" i="18"/>
  <c r="K134" i="18"/>
  <c r="P142" i="18"/>
  <c r="K142" i="18"/>
  <c r="P150" i="18"/>
  <c r="K150" i="18"/>
  <c r="P158" i="18"/>
  <c r="K158" i="18"/>
  <c r="P166" i="18"/>
  <c r="K166" i="18"/>
  <c r="P174" i="18"/>
  <c r="K174" i="18"/>
  <c r="P182" i="18"/>
  <c r="K182" i="18"/>
  <c r="P190" i="18"/>
  <c r="K190" i="18"/>
  <c r="P198" i="18"/>
  <c r="K198" i="18"/>
  <c r="P206" i="18"/>
  <c r="K206" i="18"/>
  <c r="P58" i="18"/>
  <c r="K58" i="18"/>
  <c r="P66" i="18"/>
  <c r="K66" i="18"/>
  <c r="P43" i="18"/>
  <c r="K43" i="18"/>
  <c r="P87" i="18"/>
  <c r="K87" i="18"/>
  <c r="P95" i="18"/>
  <c r="K95" i="18"/>
  <c r="P103" i="18"/>
  <c r="K103" i="18"/>
  <c r="P111" i="18"/>
  <c r="K111" i="18"/>
  <c r="P119" i="18"/>
  <c r="K119" i="18"/>
  <c r="P127" i="18"/>
  <c r="K127" i="18"/>
  <c r="P135" i="18"/>
  <c r="K135" i="18"/>
  <c r="P143" i="18"/>
  <c r="K143" i="18"/>
  <c r="P151" i="18"/>
  <c r="K151" i="18"/>
  <c r="P159" i="18"/>
  <c r="K159" i="18"/>
  <c r="P167" i="18"/>
  <c r="K167" i="18"/>
  <c r="P175" i="18"/>
  <c r="K175" i="18"/>
  <c r="P183" i="18"/>
  <c r="K183" i="18"/>
  <c r="P191" i="18"/>
  <c r="K191" i="18"/>
  <c r="P199" i="18"/>
  <c r="K199" i="18"/>
  <c r="P207" i="18"/>
  <c r="K207" i="18"/>
  <c r="P59" i="18"/>
  <c r="K59" i="18"/>
  <c r="P67" i="18"/>
  <c r="K67" i="18"/>
  <c r="P20" i="18"/>
  <c r="G212" i="18"/>
  <c r="K20" i="18"/>
  <c r="K13" i="18" l="1"/>
  <c r="P13" i="18"/>
  <c r="K14" i="18"/>
  <c r="K212" i="18"/>
  <c r="P14" i="18"/>
  <c r="P212" i="18"/>
  <c r="F12" i="29" l="1"/>
  <c r="I81" i="18" l="1"/>
  <c r="J81" i="18" s="1"/>
  <c r="L81" i="18" s="1"/>
  <c r="I185" i="18"/>
  <c r="J185" i="18" s="1"/>
  <c r="L185" i="18" s="1"/>
  <c r="I174" i="18"/>
  <c r="J174" i="18" s="1"/>
  <c r="L174" i="18" s="1"/>
  <c r="I154" i="18"/>
  <c r="J154" i="18" s="1"/>
  <c r="L154" i="18" s="1"/>
  <c r="I201" i="18"/>
  <c r="J201" i="18" s="1"/>
  <c r="L201" i="18" s="1"/>
  <c r="I44" i="18"/>
  <c r="J44" i="18" s="1"/>
  <c r="L44" i="18" s="1"/>
  <c r="I34" i="18"/>
  <c r="J34" i="18" s="1"/>
  <c r="L34" i="18" s="1"/>
  <c r="I53" i="18"/>
  <c r="J53" i="18" s="1"/>
  <c r="L53" i="18" s="1"/>
  <c r="I70" i="18"/>
  <c r="J70" i="18" s="1"/>
  <c r="L70" i="18" s="1"/>
  <c r="I126" i="18"/>
  <c r="J126" i="18" s="1"/>
  <c r="L126" i="18" s="1"/>
  <c r="I67" i="18"/>
  <c r="J67" i="18" s="1"/>
  <c r="L67" i="18" s="1"/>
  <c r="I127" i="18"/>
  <c r="J127" i="18" s="1"/>
  <c r="L127" i="18" s="1"/>
  <c r="I113" i="18"/>
  <c r="J113" i="18" s="1"/>
  <c r="L113" i="18" s="1"/>
  <c r="I115" i="18"/>
  <c r="J115" i="18" s="1"/>
  <c r="L115" i="18" s="1"/>
  <c r="I179" i="18"/>
  <c r="J179" i="18" s="1"/>
  <c r="L179" i="18" s="1"/>
  <c r="I110" i="18"/>
  <c r="J110" i="18" s="1"/>
  <c r="L110" i="18" s="1"/>
  <c r="I151" i="18"/>
  <c r="J151" i="18" s="1"/>
  <c r="L151" i="18" s="1"/>
  <c r="I40" i="18"/>
  <c r="J40" i="18" s="1"/>
  <c r="L40" i="18" s="1"/>
  <c r="I132" i="18"/>
  <c r="J132" i="18" s="1"/>
  <c r="L132" i="18" s="1"/>
  <c r="I211" i="18"/>
  <c r="J211" i="18" s="1"/>
  <c r="L211" i="18" s="1"/>
  <c r="I150" i="18"/>
  <c r="J150" i="18" s="1"/>
  <c r="L150" i="18" s="1"/>
  <c r="I27" i="18"/>
  <c r="J27" i="18" s="1"/>
  <c r="L27" i="18" s="1"/>
  <c r="I56" i="18"/>
  <c r="J56" i="18" s="1"/>
  <c r="I172" i="18"/>
  <c r="J172" i="18" s="1"/>
  <c r="L172" i="18" s="1"/>
  <c r="I21" i="18"/>
  <c r="J21" i="18" s="1"/>
  <c r="L21" i="18" s="1"/>
  <c r="I155" i="18"/>
  <c r="J155" i="18" s="1"/>
  <c r="L155" i="18" s="1"/>
  <c r="I169" i="18"/>
  <c r="J169" i="18" s="1"/>
  <c r="L169" i="18" s="1"/>
  <c r="I203" i="18"/>
  <c r="J203" i="18" s="1"/>
  <c r="L203" i="18" s="1"/>
  <c r="I173" i="18"/>
  <c r="J173" i="18" s="1"/>
  <c r="L173" i="18" s="1"/>
  <c r="I58" i="18"/>
  <c r="J58" i="18" s="1"/>
  <c r="L58" i="18" s="1"/>
  <c r="I111" i="18"/>
  <c r="J111" i="18" s="1"/>
  <c r="L111" i="18" s="1"/>
  <c r="I207" i="18"/>
  <c r="J207" i="18" s="1"/>
  <c r="L207" i="18" s="1"/>
  <c r="I33" i="18"/>
  <c r="J33" i="18" s="1"/>
  <c r="L33" i="18" s="1"/>
  <c r="I20" i="18"/>
  <c r="J20" i="18" s="1"/>
  <c r="I28" i="18"/>
  <c r="J28" i="18" s="1"/>
  <c r="L28" i="18" s="1"/>
  <c r="I182" i="18"/>
  <c r="J182" i="18" s="1"/>
  <c r="L182" i="18" s="1"/>
  <c r="I94" i="18"/>
  <c r="J94" i="18" s="1"/>
  <c r="L94" i="18" s="1"/>
  <c r="I100" i="18"/>
  <c r="J100" i="18" s="1"/>
  <c r="L100" i="18" s="1"/>
  <c r="I72" i="18"/>
  <c r="J72" i="18" s="1"/>
  <c r="L72" i="18" s="1"/>
  <c r="I144" i="18"/>
  <c r="J144" i="18" s="1"/>
  <c r="L144" i="18" s="1"/>
  <c r="I85" i="18"/>
  <c r="J85" i="18" s="1"/>
  <c r="L85" i="18" s="1"/>
  <c r="I140" i="18"/>
  <c r="J140" i="18" s="1"/>
  <c r="L140" i="18" s="1"/>
  <c r="I145" i="18"/>
  <c r="J145" i="18" s="1"/>
  <c r="L145" i="18" s="1"/>
  <c r="I134" i="18"/>
  <c r="J134" i="18" s="1"/>
  <c r="L134" i="18" s="1"/>
  <c r="I161" i="18"/>
  <c r="J161" i="18" s="1"/>
  <c r="L161" i="18" s="1"/>
  <c r="I181" i="18"/>
  <c r="J181" i="18" s="1"/>
  <c r="L181" i="18" s="1"/>
  <c r="I45" i="18"/>
  <c r="J45" i="18" s="1"/>
  <c r="L45" i="18" s="1"/>
  <c r="I171" i="18"/>
  <c r="J171" i="18" s="1"/>
  <c r="L171" i="18" s="1"/>
  <c r="I95" i="18"/>
  <c r="J95" i="18" s="1"/>
  <c r="L95" i="18" s="1"/>
  <c r="I49" i="18"/>
  <c r="J49" i="18" s="1"/>
  <c r="L49" i="18" s="1"/>
  <c r="I189" i="18"/>
  <c r="J189" i="18" s="1"/>
  <c r="L189" i="18" s="1"/>
  <c r="F14" i="29"/>
  <c r="I125" i="18"/>
  <c r="J125" i="18" s="1"/>
  <c r="L125" i="18" s="1"/>
  <c r="I114" i="18"/>
  <c r="J114" i="18" s="1"/>
  <c r="L114" i="18" s="1"/>
  <c r="I61" i="18"/>
  <c r="J61" i="18" s="1"/>
  <c r="L61" i="18" s="1"/>
  <c r="I116" i="18"/>
  <c r="J116" i="18" s="1"/>
  <c r="L116" i="18" s="1"/>
  <c r="I178" i="18"/>
  <c r="J178" i="18" s="1"/>
  <c r="L178" i="18" s="1"/>
  <c r="I194" i="18"/>
  <c r="J194" i="18" s="1"/>
  <c r="L194" i="18" s="1"/>
  <c r="I204" i="18"/>
  <c r="J204" i="18" s="1"/>
  <c r="L204" i="18" s="1"/>
  <c r="I131" i="18"/>
  <c r="J131" i="18" s="1"/>
  <c r="L131" i="18" s="1"/>
  <c r="I183" i="18"/>
  <c r="J183" i="18" s="1"/>
  <c r="L183" i="18" s="1"/>
  <c r="I121" i="18"/>
  <c r="J121" i="18" s="1"/>
  <c r="L121" i="18" s="1"/>
  <c r="I75" i="18"/>
  <c r="J75" i="18" s="1"/>
  <c r="L75" i="18" s="1"/>
  <c r="I170" i="18"/>
  <c r="J170" i="18" s="1"/>
  <c r="L170" i="18" s="1"/>
  <c r="I117" i="18"/>
  <c r="J117" i="18" s="1"/>
  <c r="L117" i="18" s="1"/>
  <c r="I139" i="18"/>
  <c r="J139" i="18" s="1"/>
  <c r="L139" i="18" s="1"/>
  <c r="I108" i="18"/>
  <c r="J108" i="18" s="1"/>
  <c r="L108" i="18" s="1"/>
  <c r="I159" i="18"/>
  <c r="J159" i="18" s="1"/>
  <c r="L159" i="18" s="1"/>
  <c r="I147" i="18"/>
  <c r="J147" i="18" s="1"/>
  <c r="L147" i="18" s="1"/>
  <c r="I184" i="18"/>
  <c r="J184" i="18" s="1"/>
  <c r="L184" i="18" s="1"/>
  <c r="I101" i="18"/>
  <c r="J101" i="18" s="1"/>
  <c r="L101" i="18" s="1"/>
  <c r="I59" i="18"/>
  <c r="J59" i="18" s="1"/>
  <c r="L59" i="18" s="1"/>
  <c r="I142" i="18"/>
  <c r="J142" i="18" s="1"/>
  <c r="L142" i="18" s="1"/>
  <c r="I38" i="18"/>
  <c r="J38" i="18" s="1"/>
  <c r="L38" i="18" s="1"/>
  <c r="I73" i="18"/>
  <c r="J73" i="18" s="1"/>
  <c r="L73" i="18" s="1"/>
  <c r="I50" i="18"/>
  <c r="J50" i="18" s="1"/>
  <c r="L50" i="18" s="1"/>
  <c r="I208" i="18"/>
  <c r="J208" i="18" s="1"/>
  <c r="L208" i="18" s="1"/>
  <c r="I153" i="18"/>
  <c r="J153" i="18" s="1"/>
  <c r="L153" i="18" s="1"/>
  <c r="I22" i="18"/>
  <c r="J22" i="18" s="1"/>
  <c r="L22" i="18" s="1"/>
  <c r="I25" i="18"/>
  <c r="J25" i="18" s="1"/>
  <c r="L25" i="18" s="1"/>
  <c r="I168" i="18"/>
  <c r="J168" i="18" s="1"/>
  <c r="L168" i="18" s="1"/>
  <c r="I83" i="18"/>
  <c r="J83" i="18" s="1"/>
  <c r="L83" i="18" s="1"/>
  <c r="I196" i="18"/>
  <c r="J196" i="18" s="1"/>
  <c r="L196" i="18" s="1"/>
  <c r="I23" i="18"/>
  <c r="J23" i="18" s="1"/>
  <c r="L23" i="18" s="1"/>
  <c r="I202" i="18"/>
  <c r="J202" i="18" s="1"/>
  <c r="L202" i="18" s="1"/>
  <c r="I79" i="18"/>
  <c r="J79" i="18" s="1"/>
  <c r="L79" i="18" s="1"/>
  <c r="I187" i="18"/>
  <c r="J187" i="18" s="1"/>
  <c r="L187" i="18" s="1"/>
  <c r="I48" i="18"/>
  <c r="J48" i="18" s="1"/>
  <c r="L48" i="18" s="1"/>
  <c r="I137" i="18"/>
  <c r="J137" i="18" s="1"/>
  <c r="L137" i="18" s="1"/>
  <c r="I86" i="18"/>
  <c r="J86" i="18" s="1"/>
  <c r="L86" i="18" s="1"/>
  <c r="I122" i="18"/>
  <c r="J122" i="18" s="1"/>
  <c r="L122" i="18" s="1"/>
  <c r="I210" i="18"/>
  <c r="J210" i="18" s="1"/>
  <c r="L210" i="18" s="1"/>
  <c r="I66" i="18"/>
  <c r="J66" i="18" s="1"/>
  <c r="L66" i="18" s="1"/>
  <c r="I68" i="18"/>
  <c r="J68" i="18" s="1"/>
  <c r="L68" i="18" s="1"/>
  <c r="I160" i="18"/>
  <c r="J160" i="18" s="1"/>
  <c r="L160" i="18" s="1"/>
  <c r="I176" i="18"/>
  <c r="J176" i="18" s="1"/>
  <c r="L176" i="18" s="1"/>
  <c r="I88" i="18"/>
  <c r="J88" i="18" s="1"/>
  <c r="L88" i="18" s="1"/>
  <c r="I199" i="18"/>
  <c r="J199" i="18" s="1"/>
  <c r="L199" i="18" s="1"/>
  <c r="I186" i="18"/>
  <c r="J186" i="18" s="1"/>
  <c r="L186" i="18" s="1"/>
  <c r="I164" i="18"/>
  <c r="J164" i="18" s="1"/>
  <c r="L164" i="18" s="1"/>
  <c r="I177" i="18"/>
  <c r="J177" i="18" s="1"/>
  <c r="L177" i="18" s="1"/>
  <c r="I141" i="18"/>
  <c r="J141" i="18" s="1"/>
  <c r="L141" i="18" s="1"/>
  <c r="I133" i="18"/>
  <c r="J133" i="18" s="1"/>
  <c r="L133" i="18" s="1"/>
  <c r="I65" i="18"/>
  <c r="J65" i="18" s="1"/>
  <c r="L65" i="18" s="1"/>
  <c r="I91" i="18"/>
  <c r="J91" i="18" s="1"/>
  <c r="L91" i="18" s="1"/>
  <c r="I135" i="18"/>
  <c r="J135" i="18" s="1"/>
  <c r="L135" i="18" s="1"/>
  <c r="I52" i="18"/>
  <c r="J52" i="18" s="1"/>
  <c r="L52" i="18" s="1"/>
  <c r="I195" i="18"/>
  <c r="J195" i="18" s="1"/>
  <c r="L195" i="18" s="1"/>
  <c r="I37" i="18"/>
  <c r="J37" i="18" s="1"/>
  <c r="L37" i="18" s="1"/>
  <c r="I197" i="18"/>
  <c r="J197" i="18" s="1"/>
  <c r="L197" i="18" s="1"/>
  <c r="I167" i="18"/>
  <c r="J167" i="18" s="1"/>
  <c r="L167" i="18" s="1"/>
  <c r="I78" i="18"/>
  <c r="J78" i="18" s="1"/>
  <c r="L78" i="18" s="1"/>
  <c r="I148" i="18"/>
  <c r="J148" i="18" s="1"/>
  <c r="L148" i="18" s="1"/>
  <c r="I163" i="18"/>
  <c r="J163" i="18" s="1"/>
  <c r="L163" i="18" s="1"/>
  <c r="I206" i="18"/>
  <c r="J206" i="18" s="1"/>
  <c r="L206" i="18" s="1"/>
  <c r="I118" i="18"/>
  <c r="J118" i="18" s="1"/>
  <c r="L118" i="18" s="1"/>
  <c r="I175" i="18"/>
  <c r="J175" i="18" s="1"/>
  <c r="L175" i="18" s="1"/>
  <c r="I30" i="18"/>
  <c r="J30" i="18" s="1"/>
  <c r="L30" i="18" s="1"/>
  <c r="I71" i="18"/>
  <c r="J71" i="18" s="1"/>
  <c r="L71" i="18" s="1"/>
  <c r="I69" i="18"/>
  <c r="J69" i="18" s="1"/>
  <c r="L69" i="18" s="1"/>
  <c r="I166" i="18"/>
  <c r="J166" i="18" s="1"/>
  <c r="L166" i="18" s="1"/>
  <c r="I32" i="18"/>
  <c r="J32" i="18" s="1"/>
  <c r="L32" i="18" s="1"/>
  <c r="I24" i="18"/>
  <c r="J24" i="18" s="1"/>
  <c r="L24" i="18" s="1"/>
  <c r="I191" i="18"/>
  <c r="J191" i="18" s="1"/>
  <c r="L191" i="18" s="1"/>
  <c r="I102" i="18"/>
  <c r="J102" i="18" s="1"/>
  <c r="L102" i="18" s="1"/>
  <c r="I129" i="18"/>
  <c r="J129" i="18" s="1"/>
  <c r="L129" i="18" s="1"/>
  <c r="I63" i="18"/>
  <c r="J63" i="18" s="1"/>
  <c r="L63" i="18" s="1"/>
  <c r="I82" i="18"/>
  <c r="J82" i="18" s="1"/>
  <c r="L82" i="18" s="1"/>
  <c r="I80" i="18"/>
  <c r="J80" i="18" s="1"/>
  <c r="L80" i="18" s="1"/>
  <c r="I156" i="18"/>
  <c r="J156" i="18" s="1"/>
  <c r="L156" i="18" s="1"/>
  <c r="I43" i="18"/>
  <c r="J43" i="18" s="1"/>
  <c r="L43" i="18" s="1"/>
  <c r="I146" i="18"/>
  <c r="J146" i="18" s="1"/>
  <c r="L146" i="18" s="1"/>
  <c r="I136" i="18"/>
  <c r="J136" i="18" s="1"/>
  <c r="L136" i="18" s="1"/>
  <c r="I55" i="18"/>
  <c r="J55" i="18" s="1"/>
  <c r="L55" i="18" s="1"/>
  <c r="I158" i="18"/>
  <c r="J158" i="18" s="1"/>
  <c r="L158" i="18" s="1"/>
  <c r="I180" i="18"/>
  <c r="J180" i="18" s="1"/>
  <c r="L180" i="18" s="1"/>
  <c r="I92" i="18"/>
  <c r="J92" i="18" s="1"/>
  <c r="L92" i="18" s="1"/>
  <c r="I84" i="18"/>
  <c r="J84" i="18" s="1"/>
  <c r="L84" i="18" s="1"/>
  <c r="I35" i="18"/>
  <c r="J35" i="18" s="1"/>
  <c r="L35" i="18" s="1"/>
  <c r="I165" i="18"/>
  <c r="J165" i="18" s="1"/>
  <c r="L165" i="18" s="1"/>
  <c r="I98" i="18"/>
  <c r="J98" i="18" s="1"/>
  <c r="L98" i="18" s="1"/>
  <c r="I93" i="18"/>
  <c r="J93" i="18" s="1"/>
  <c r="L93" i="18" s="1"/>
  <c r="I123" i="18"/>
  <c r="J123" i="18" s="1"/>
  <c r="L123" i="18" s="1"/>
  <c r="I42" i="18"/>
  <c r="J42" i="18" s="1"/>
  <c r="L42" i="18" s="1"/>
  <c r="I107" i="18"/>
  <c r="J107" i="18" s="1"/>
  <c r="L107" i="18" s="1"/>
  <c r="I198" i="18"/>
  <c r="J198" i="18" s="1"/>
  <c r="L198" i="18" s="1"/>
  <c r="I128" i="18"/>
  <c r="J128" i="18" s="1"/>
  <c r="L128" i="18" s="1"/>
  <c r="I190" i="18"/>
  <c r="J190" i="18" s="1"/>
  <c r="L190" i="18" s="1"/>
  <c r="I36" i="18"/>
  <c r="J36" i="18" s="1"/>
  <c r="L36" i="18" s="1"/>
  <c r="I41" i="18"/>
  <c r="J41" i="18" s="1"/>
  <c r="L41" i="18" s="1"/>
  <c r="I112" i="18"/>
  <c r="J112" i="18" s="1"/>
  <c r="L112" i="18" s="1"/>
  <c r="I96" i="18"/>
  <c r="J96" i="18" s="1"/>
  <c r="L96" i="18" s="1"/>
  <c r="I47" i="18"/>
  <c r="J47" i="18" s="1"/>
  <c r="L47" i="18" s="1"/>
  <c r="I46" i="18"/>
  <c r="J46" i="18" s="1"/>
  <c r="L46" i="18" s="1"/>
  <c r="I89" i="18"/>
  <c r="J89" i="18" s="1"/>
  <c r="L89" i="18" s="1"/>
  <c r="I149" i="18"/>
  <c r="J149" i="18" s="1"/>
  <c r="L149" i="18" s="1"/>
  <c r="I103" i="18"/>
  <c r="J103" i="18" s="1"/>
  <c r="L103" i="18" s="1"/>
  <c r="I76" i="18"/>
  <c r="J76" i="18" s="1"/>
  <c r="L76" i="18" s="1"/>
  <c r="I62" i="18"/>
  <c r="J62" i="18" s="1"/>
  <c r="L62" i="18" s="1"/>
  <c r="I120" i="18"/>
  <c r="J120" i="18" s="1"/>
  <c r="L120" i="18" s="1"/>
  <c r="I97" i="18"/>
  <c r="J97" i="18" s="1"/>
  <c r="L97" i="18" s="1"/>
  <c r="I209" i="18"/>
  <c r="J209" i="18" s="1"/>
  <c r="L209" i="18" s="1"/>
  <c r="I57" i="18"/>
  <c r="J57" i="18" s="1"/>
  <c r="L57" i="18" s="1"/>
  <c r="I60" i="18"/>
  <c r="J60" i="18" s="1"/>
  <c r="L60" i="18" s="1"/>
  <c r="I138" i="18"/>
  <c r="J138" i="18" s="1"/>
  <c r="L138" i="18" s="1"/>
  <c r="I205" i="18"/>
  <c r="J205" i="18" s="1"/>
  <c r="L205" i="18" s="1"/>
  <c r="I124" i="18"/>
  <c r="J124" i="18" s="1"/>
  <c r="L124" i="18" s="1"/>
  <c r="I51" i="18"/>
  <c r="J51" i="18" s="1"/>
  <c r="L51" i="18" s="1"/>
  <c r="I109" i="18"/>
  <c r="J109" i="18" s="1"/>
  <c r="L109" i="18" s="1"/>
  <c r="I31" i="18"/>
  <c r="J31" i="18" s="1"/>
  <c r="L31" i="18" s="1"/>
  <c r="I105" i="18"/>
  <c r="J105" i="18" s="1"/>
  <c r="L105" i="18" s="1"/>
  <c r="I188" i="18"/>
  <c r="J188" i="18" s="1"/>
  <c r="L188" i="18" s="1"/>
  <c r="I192" i="18"/>
  <c r="J192" i="18" s="1"/>
  <c r="L192" i="18" s="1"/>
  <c r="I99" i="18"/>
  <c r="J99" i="18" s="1"/>
  <c r="L99" i="18" s="1"/>
  <c r="I26" i="18"/>
  <c r="J26" i="18" s="1"/>
  <c r="L26" i="18" s="1"/>
  <c r="I193" i="18"/>
  <c r="J193" i="18" s="1"/>
  <c r="L193" i="18" s="1"/>
  <c r="I29" i="18"/>
  <c r="J29" i="18" s="1"/>
  <c r="L29" i="18" s="1"/>
  <c r="I39" i="18"/>
  <c r="J39" i="18" s="1"/>
  <c r="L39" i="18" s="1"/>
  <c r="I119" i="18"/>
  <c r="J119" i="18" s="1"/>
  <c r="L119" i="18" s="1"/>
  <c r="I87" i="18"/>
  <c r="J87" i="18" s="1"/>
  <c r="L87" i="18" s="1"/>
  <c r="I152" i="18"/>
  <c r="J152" i="18" s="1"/>
  <c r="L152" i="18" s="1"/>
  <c r="I104" i="18"/>
  <c r="J104" i="18" s="1"/>
  <c r="L104" i="18" s="1"/>
  <c r="I74" i="18"/>
  <c r="J74" i="18" s="1"/>
  <c r="L74" i="18" s="1"/>
  <c r="I200" i="18"/>
  <c r="J200" i="18" s="1"/>
  <c r="L200" i="18" s="1"/>
  <c r="I64" i="18"/>
  <c r="J64" i="18" s="1"/>
  <c r="L64" i="18" s="1"/>
  <c r="I157" i="18"/>
  <c r="J157" i="18" s="1"/>
  <c r="L157" i="18" s="1"/>
  <c r="I143" i="18"/>
  <c r="J143" i="18" s="1"/>
  <c r="L143" i="18" s="1"/>
  <c r="I162" i="18"/>
  <c r="J162" i="18" s="1"/>
  <c r="L162" i="18" s="1"/>
  <c r="I130" i="18"/>
  <c r="J130" i="18" s="1"/>
  <c r="L130" i="18" s="1"/>
  <c r="I77" i="18"/>
  <c r="J77" i="18" s="1"/>
  <c r="L77" i="18" s="1"/>
  <c r="I90" i="18"/>
  <c r="J90" i="18" s="1"/>
  <c r="L90" i="18" s="1"/>
  <c r="I106" i="18"/>
  <c r="J106" i="18" s="1"/>
  <c r="L106" i="18" s="1"/>
  <c r="I54" i="18"/>
  <c r="J54" i="18" s="1"/>
  <c r="L54" i="18" s="1"/>
  <c r="J14" i="18" l="1"/>
  <c r="J212" i="18"/>
  <c r="L20" i="18"/>
  <c r="J13" i="18"/>
  <c r="L56" i="18"/>
  <c r="L13" i="18" l="1"/>
  <c r="L14" i="18"/>
  <c r="L212" i="18"/>
  <c r="M20" i="18" l="1"/>
  <c r="M77" i="18"/>
  <c r="N77" i="18" s="1"/>
  <c r="R77" i="18" s="1"/>
  <c r="M182" i="18"/>
  <c r="N182" i="18" s="1"/>
  <c r="R182" i="18" s="1"/>
  <c r="M132" i="18"/>
  <c r="N132" i="18" s="1"/>
  <c r="R132" i="18" s="1"/>
  <c r="M102" i="18"/>
  <c r="N102" i="18" s="1"/>
  <c r="R102" i="18" s="1"/>
  <c r="M206" i="18"/>
  <c r="N206" i="18" s="1"/>
  <c r="R206" i="18" s="1"/>
  <c r="M94" i="18"/>
  <c r="N94" i="18" s="1"/>
  <c r="R94" i="18" s="1"/>
  <c r="M137" i="18"/>
  <c r="N137" i="18" s="1"/>
  <c r="R137" i="18" s="1"/>
  <c r="M86" i="18"/>
  <c r="N86" i="18" s="1"/>
  <c r="R86" i="18" s="1"/>
  <c r="M190" i="18"/>
  <c r="N190" i="18" s="1"/>
  <c r="R190" i="18" s="1"/>
  <c r="M58" i="18"/>
  <c r="N58" i="18" s="1"/>
  <c r="R58" i="18" s="1"/>
  <c r="M117" i="18"/>
  <c r="N117" i="18" s="1"/>
  <c r="R117" i="18" s="1"/>
  <c r="M98" i="18"/>
  <c r="N98" i="18" s="1"/>
  <c r="R98" i="18" s="1"/>
  <c r="M161" i="18"/>
  <c r="N161" i="18" s="1"/>
  <c r="R161" i="18" s="1"/>
  <c r="M38" i="18"/>
  <c r="N38" i="18" s="1"/>
  <c r="R38" i="18" s="1"/>
  <c r="M65" i="18"/>
  <c r="N65" i="18" s="1"/>
  <c r="R65" i="18" s="1"/>
  <c r="M115" i="18"/>
  <c r="N115" i="18" s="1"/>
  <c r="R115" i="18" s="1"/>
  <c r="M164" i="18"/>
  <c r="N164" i="18" s="1"/>
  <c r="R164" i="18" s="1"/>
  <c r="M202" i="18"/>
  <c r="N202" i="18" s="1"/>
  <c r="R202" i="18" s="1"/>
  <c r="M103" i="18"/>
  <c r="N103" i="18" s="1"/>
  <c r="R103" i="18" s="1"/>
  <c r="M50" i="18"/>
  <c r="N50" i="18" s="1"/>
  <c r="R50" i="18" s="1"/>
  <c r="M43" i="18"/>
  <c r="N43" i="18" s="1"/>
  <c r="R43" i="18" s="1"/>
  <c r="M157" i="18"/>
  <c r="N157" i="18" s="1"/>
  <c r="R157" i="18" s="1"/>
  <c r="M136" i="18"/>
  <c r="N136" i="18" s="1"/>
  <c r="R136" i="18" s="1"/>
  <c r="M166" i="18"/>
  <c r="N166" i="18" s="1"/>
  <c r="R166" i="18" s="1"/>
  <c r="M48" i="18"/>
  <c r="N48" i="18" s="1"/>
  <c r="R48" i="18" s="1"/>
  <c r="M191" i="18"/>
  <c r="N191" i="18" s="1"/>
  <c r="R191" i="18" s="1"/>
  <c r="M96" i="18"/>
  <c r="N96" i="18" s="1"/>
  <c r="R96" i="18" s="1"/>
  <c r="M156" i="18"/>
  <c r="N156" i="18" s="1"/>
  <c r="R156" i="18" s="1"/>
  <c r="M67" i="18"/>
  <c r="N67" i="18" s="1"/>
  <c r="R67" i="18" s="1"/>
  <c r="M125" i="18"/>
  <c r="N125" i="18" s="1"/>
  <c r="R125" i="18" s="1"/>
  <c r="M99" i="18"/>
  <c r="N99" i="18" s="1"/>
  <c r="R99" i="18" s="1"/>
  <c r="M114" i="18"/>
  <c r="N114" i="18" s="1"/>
  <c r="R114" i="18" s="1"/>
  <c r="M106" i="18"/>
  <c r="N106" i="18" s="1"/>
  <c r="R106" i="18" s="1"/>
  <c r="M57" i="18"/>
  <c r="N57" i="18" s="1"/>
  <c r="R57" i="18" s="1"/>
  <c r="M76" i="18"/>
  <c r="N76" i="18" s="1"/>
  <c r="R76" i="18" s="1"/>
  <c r="M113" i="18"/>
  <c r="N113" i="18" s="1"/>
  <c r="R113" i="18" s="1"/>
  <c r="M127" i="18"/>
  <c r="N127" i="18" s="1"/>
  <c r="R127" i="18" s="1"/>
  <c r="M109" i="18"/>
  <c r="N109" i="18" s="1"/>
  <c r="R109" i="18" s="1"/>
  <c r="M72" i="18"/>
  <c r="N72" i="18" s="1"/>
  <c r="R72" i="18" s="1"/>
  <c r="M178" i="18"/>
  <c r="N178" i="18" s="1"/>
  <c r="R178" i="18" s="1"/>
  <c r="M97" i="18"/>
  <c r="N97" i="18" s="1"/>
  <c r="R97" i="18" s="1"/>
  <c r="M146" i="18"/>
  <c r="N146" i="18" s="1"/>
  <c r="R146" i="18" s="1"/>
  <c r="M176" i="18"/>
  <c r="N176" i="18" s="1"/>
  <c r="R176" i="18" s="1"/>
  <c r="M78" i="18"/>
  <c r="N78" i="18" s="1"/>
  <c r="R78" i="18" s="1"/>
  <c r="M153" i="18"/>
  <c r="N153" i="18" s="1"/>
  <c r="R153" i="18" s="1"/>
  <c r="M180" i="18"/>
  <c r="N180" i="18" s="1"/>
  <c r="R180" i="18" s="1"/>
  <c r="M128" i="18"/>
  <c r="N128" i="18" s="1"/>
  <c r="R128" i="18" s="1"/>
  <c r="M21" i="18"/>
  <c r="N21" i="18" s="1"/>
  <c r="R21" i="18" s="1"/>
  <c r="M169" i="18"/>
  <c r="N169" i="18" s="1"/>
  <c r="R169" i="18" s="1"/>
  <c r="M62" i="18"/>
  <c r="N62" i="18" s="1"/>
  <c r="R62" i="18" s="1"/>
  <c r="M135" i="18"/>
  <c r="N135" i="18" s="1"/>
  <c r="R135" i="18" s="1"/>
  <c r="M154" i="18"/>
  <c r="N154" i="18" s="1"/>
  <c r="R154" i="18" s="1"/>
  <c r="M193" i="18"/>
  <c r="N193" i="18" s="1"/>
  <c r="R193" i="18" s="1"/>
  <c r="M211" i="18"/>
  <c r="N211" i="18" s="1"/>
  <c r="R211" i="18" s="1"/>
  <c r="M134" i="18"/>
  <c r="N134" i="18" s="1"/>
  <c r="R134" i="18" s="1"/>
  <c r="M172" i="18"/>
  <c r="N172" i="18" s="1"/>
  <c r="R172" i="18" s="1"/>
  <c r="M95" i="18"/>
  <c r="N95" i="18" s="1"/>
  <c r="R95" i="18" s="1"/>
  <c r="M59" i="18"/>
  <c r="N59" i="18" s="1"/>
  <c r="R59" i="18" s="1"/>
  <c r="M41" i="18"/>
  <c r="N41" i="18" s="1"/>
  <c r="R41" i="18" s="1"/>
  <c r="M199" i="18"/>
  <c r="N199" i="18" s="1"/>
  <c r="R199" i="18" s="1"/>
  <c r="M174" i="18"/>
  <c r="N174" i="18" s="1"/>
  <c r="R174" i="18" s="1"/>
  <c r="M31" i="18"/>
  <c r="N31" i="18" s="1"/>
  <c r="R31" i="18" s="1"/>
  <c r="M27" i="18"/>
  <c r="N27" i="18" s="1"/>
  <c r="R27" i="18" s="1"/>
  <c r="M195" i="18"/>
  <c r="N195" i="18" s="1"/>
  <c r="R195" i="18" s="1"/>
  <c r="M30" i="18"/>
  <c r="N30" i="18" s="1"/>
  <c r="R30" i="18" s="1"/>
  <c r="M28" i="18"/>
  <c r="N28" i="18" s="1"/>
  <c r="R28" i="18" s="1"/>
  <c r="M120" i="18"/>
  <c r="N120" i="18" s="1"/>
  <c r="R120" i="18" s="1"/>
  <c r="M105" i="18"/>
  <c r="N105" i="18" s="1"/>
  <c r="R105" i="18" s="1"/>
  <c r="M119" i="18"/>
  <c r="N119" i="18" s="1"/>
  <c r="R119" i="18" s="1"/>
  <c r="M186" i="18"/>
  <c r="N186" i="18" s="1"/>
  <c r="R186" i="18" s="1"/>
  <c r="M54" i="18"/>
  <c r="N54" i="18" s="1"/>
  <c r="R54" i="18" s="1"/>
  <c r="M87" i="18"/>
  <c r="N87" i="18" s="1"/>
  <c r="R87" i="18" s="1"/>
  <c r="M168" i="18"/>
  <c r="N168" i="18" s="1"/>
  <c r="R168" i="18" s="1"/>
  <c r="M142" i="18"/>
  <c r="N142" i="18" s="1"/>
  <c r="R142" i="18" s="1"/>
  <c r="M111" i="18"/>
  <c r="N111" i="18" s="1"/>
  <c r="R111" i="18" s="1"/>
  <c r="M160" i="18"/>
  <c r="N160" i="18" s="1"/>
  <c r="R160" i="18" s="1"/>
  <c r="M47" i="18"/>
  <c r="N47" i="18" s="1"/>
  <c r="R47" i="18" s="1"/>
  <c r="M108" i="18"/>
  <c r="N108" i="18" s="1"/>
  <c r="R108" i="18" s="1"/>
  <c r="M53" i="18"/>
  <c r="N53" i="18" s="1"/>
  <c r="R53" i="18" s="1"/>
  <c r="M158" i="18"/>
  <c r="N158" i="18" s="1"/>
  <c r="R158" i="18" s="1"/>
  <c r="M205" i="18"/>
  <c r="N205" i="18" s="1"/>
  <c r="R205" i="18" s="1"/>
  <c r="M185" i="18"/>
  <c r="N185" i="18" s="1"/>
  <c r="R185" i="18" s="1"/>
  <c r="M80" i="18"/>
  <c r="N80" i="18" s="1"/>
  <c r="R80" i="18" s="1"/>
  <c r="M89" i="18"/>
  <c r="N89" i="18" s="1"/>
  <c r="R89" i="18" s="1"/>
  <c r="M123" i="18"/>
  <c r="N123" i="18" s="1"/>
  <c r="R123" i="18" s="1"/>
  <c r="M60" i="18"/>
  <c r="N60" i="18" s="1"/>
  <c r="R60" i="18" s="1"/>
  <c r="M144" i="18"/>
  <c r="N144" i="18" s="1"/>
  <c r="R144" i="18" s="1"/>
  <c r="M92" i="18"/>
  <c r="N92" i="18" s="1"/>
  <c r="R92" i="18" s="1"/>
  <c r="M122" i="18"/>
  <c r="N122" i="18" s="1"/>
  <c r="R122" i="18" s="1"/>
  <c r="M131" i="18"/>
  <c r="N131" i="18" s="1"/>
  <c r="R131" i="18" s="1"/>
  <c r="M118" i="18"/>
  <c r="N118" i="18" s="1"/>
  <c r="R118" i="18" s="1"/>
  <c r="M204" i="18"/>
  <c r="N204" i="18" s="1"/>
  <c r="R204" i="18" s="1"/>
  <c r="M167" i="18"/>
  <c r="N167" i="18" s="1"/>
  <c r="R167" i="18" s="1"/>
  <c r="M112" i="18"/>
  <c r="N112" i="18" s="1"/>
  <c r="R112" i="18" s="1"/>
  <c r="M196" i="18"/>
  <c r="N196" i="18" s="1"/>
  <c r="R196" i="18" s="1"/>
  <c r="M93" i="18"/>
  <c r="N93" i="18" s="1"/>
  <c r="R93" i="18" s="1"/>
  <c r="M203" i="18"/>
  <c r="N203" i="18" s="1"/>
  <c r="R203" i="18" s="1"/>
  <c r="M33" i="18"/>
  <c r="N33" i="18" s="1"/>
  <c r="R33" i="18" s="1"/>
  <c r="M207" i="18"/>
  <c r="N207" i="18" s="1"/>
  <c r="R207" i="18" s="1"/>
  <c r="M70" i="18"/>
  <c r="N70" i="18" s="1"/>
  <c r="R70" i="18" s="1"/>
  <c r="M165" i="18"/>
  <c r="N165" i="18" s="1"/>
  <c r="R165" i="18" s="1"/>
  <c r="M179" i="18"/>
  <c r="N179" i="18" s="1"/>
  <c r="R179" i="18" s="1"/>
  <c r="M151" i="18"/>
  <c r="N151" i="18" s="1"/>
  <c r="R151" i="18" s="1"/>
  <c r="M181" i="18"/>
  <c r="N181" i="18" s="1"/>
  <c r="R181" i="18" s="1"/>
  <c r="M74" i="18"/>
  <c r="N74" i="18" s="1"/>
  <c r="R74" i="18" s="1"/>
  <c r="M61" i="18"/>
  <c r="N61" i="18" s="1"/>
  <c r="R61" i="18" s="1"/>
  <c r="M26" i="18"/>
  <c r="N26" i="18" s="1"/>
  <c r="R26" i="18" s="1"/>
  <c r="M71" i="18"/>
  <c r="N71" i="18" s="1"/>
  <c r="R71" i="18" s="1"/>
  <c r="M45" i="18"/>
  <c r="N45" i="18" s="1"/>
  <c r="R45" i="18" s="1"/>
  <c r="M91" i="18"/>
  <c r="N91" i="18" s="1"/>
  <c r="R91" i="18" s="1"/>
  <c r="M197" i="18"/>
  <c r="N197" i="18" s="1"/>
  <c r="R197" i="18" s="1"/>
  <c r="M145" i="18"/>
  <c r="N145" i="18" s="1"/>
  <c r="R145" i="18" s="1"/>
  <c r="M85" i="18"/>
  <c r="N85" i="18" s="1"/>
  <c r="R85" i="18" s="1"/>
  <c r="M79" i="18"/>
  <c r="N79" i="18" s="1"/>
  <c r="R79" i="18" s="1"/>
  <c r="M83" i="18"/>
  <c r="N83" i="18" s="1"/>
  <c r="R83" i="18" s="1"/>
  <c r="M35" i="18"/>
  <c r="N35" i="18" s="1"/>
  <c r="R35" i="18" s="1"/>
  <c r="M100" i="18"/>
  <c r="N100" i="18" s="1"/>
  <c r="R100" i="18" s="1"/>
  <c r="M150" i="18"/>
  <c r="N150" i="18" s="1"/>
  <c r="R150" i="18" s="1"/>
  <c r="M170" i="18"/>
  <c r="N170" i="18" s="1"/>
  <c r="R170" i="18" s="1"/>
  <c r="M66" i="18"/>
  <c r="N66" i="18" s="1"/>
  <c r="R66" i="18" s="1"/>
  <c r="M192" i="18"/>
  <c r="N192" i="18" s="1"/>
  <c r="R192" i="18" s="1"/>
  <c r="M148" i="18"/>
  <c r="N148" i="18" s="1"/>
  <c r="R148" i="18" s="1"/>
  <c r="M64" i="18"/>
  <c r="N64" i="18" s="1"/>
  <c r="R64" i="18" s="1"/>
  <c r="M81" i="18"/>
  <c r="N81" i="18" s="1"/>
  <c r="R81" i="18" s="1"/>
  <c r="M90" i="18"/>
  <c r="N90" i="18" s="1"/>
  <c r="R90" i="18" s="1"/>
  <c r="M22" i="18"/>
  <c r="N22" i="18" s="1"/>
  <c r="R22" i="18" s="1"/>
  <c r="M46" i="18"/>
  <c r="N46" i="18" s="1"/>
  <c r="R46" i="18" s="1"/>
  <c r="M52" i="18"/>
  <c r="N52" i="18" s="1"/>
  <c r="R52" i="18" s="1"/>
  <c r="M63" i="18"/>
  <c r="N63" i="18" s="1"/>
  <c r="R63" i="18" s="1"/>
  <c r="M121" i="18"/>
  <c r="N121" i="18" s="1"/>
  <c r="R121" i="18" s="1"/>
  <c r="M29" i="18"/>
  <c r="N29" i="18" s="1"/>
  <c r="R29" i="18" s="1"/>
  <c r="M171" i="18"/>
  <c r="N171" i="18" s="1"/>
  <c r="R171" i="18" s="1"/>
  <c r="M68" i="18"/>
  <c r="N68" i="18" s="1"/>
  <c r="R68" i="18" s="1"/>
  <c r="M56" i="18"/>
  <c r="M198" i="18"/>
  <c r="N198" i="18" s="1"/>
  <c r="R198" i="18" s="1"/>
  <c r="M110" i="18"/>
  <c r="N110" i="18" s="1"/>
  <c r="R110" i="18" s="1"/>
  <c r="M152" i="18"/>
  <c r="N152" i="18" s="1"/>
  <c r="R152" i="18" s="1"/>
  <c r="M49" i="18"/>
  <c r="N49" i="18" s="1"/>
  <c r="R49" i="18" s="1"/>
  <c r="M104" i="18"/>
  <c r="N104" i="18" s="1"/>
  <c r="R104" i="18" s="1"/>
  <c r="M163" i="18"/>
  <c r="N163" i="18" s="1"/>
  <c r="R163" i="18" s="1"/>
  <c r="M55" i="18"/>
  <c r="N55" i="18" s="1"/>
  <c r="R55" i="18" s="1"/>
  <c r="M147" i="18"/>
  <c r="N147" i="18" s="1"/>
  <c r="R147" i="18" s="1"/>
  <c r="M107" i="18"/>
  <c r="N107" i="18" s="1"/>
  <c r="R107" i="18" s="1"/>
  <c r="M25" i="18"/>
  <c r="N25" i="18" s="1"/>
  <c r="R25" i="18" s="1"/>
  <c r="M24" i="18"/>
  <c r="N24" i="18" s="1"/>
  <c r="R24" i="18" s="1"/>
  <c r="M51" i="18"/>
  <c r="N51" i="18" s="1"/>
  <c r="R51" i="18" s="1"/>
  <c r="M200" i="18"/>
  <c r="N200" i="18" s="1"/>
  <c r="R200" i="18" s="1"/>
  <c r="M32" i="18"/>
  <c r="N32" i="18" s="1"/>
  <c r="R32" i="18" s="1"/>
  <c r="M162" i="18"/>
  <c r="N162" i="18" s="1"/>
  <c r="R162" i="18" s="1"/>
  <c r="M139" i="18"/>
  <c r="N139" i="18" s="1"/>
  <c r="R139" i="18" s="1"/>
  <c r="M209" i="18"/>
  <c r="N209" i="18" s="1"/>
  <c r="R209" i="18" s="1"/>
  <c r="M175" i="18"/>
  <c r="N175" i="18" s="1"/>
  <c r="R175" i="18" s="1"/>
  <c r="M36" i="18"/>
  <c r="N36" i="18" s="1"/>
  <c r="R36" i="18" s="1"/>
  <c r="M177" i="18"/>
  <c r="N177" i="18" s="1"/>
  <c r="R177" i="18" s="1"/>
  <c r="M141" i="18"/>
  <c r="N141" i="18" s="1"/>
  <c r="R141" i="18" s="1"/>
  <c r="M39" i="18"/>
  <c r="N39" i="18" s="1"/>
  <c r="R39" i="18" s="1"/>
  <c r="M183" i="18"/>
  <c r="N183" i="18" s="1"/>
  <c r="R183" i="18" s="1"/>
  <c r="M138" i="18"/>
  <c r="N138" i="18" s="1"/>
  <c r="R138" i="18" s="1"/>
  <c r="M75" i="18"/>
  <c r="N75" i="18" s="1"/>
  <c r="R75" i="18" s="1"/>
  <c r="M23" i="18"/>
  <c r="N23" i="18" s="1"/>
  <c r="R23" i="18" s="1"/>
  <c r="M187" i="18"/>
  <c r="N187" i="18" s="1"/>
  <c r="R187" i="18" s="1"/>
  <c r="M201" i="18"/>
  <c r="N201" i="18" s="1"/>
  <c r="R201" i="18" s="1"/>
  <c r="M188" i="18"/>
  <c r="N188" i="18" s="1"/>
  <c r="R188" i="18" s="1"/>
  <c r="M37" i="18"/>
  <c r="N37" i="18" s="1"/>
  <c r="R37" i="18" s="1"/>
  <c r="M88" i="18"/>
  <c r="N88" i="18" s="1"/>
  <c r="R88" i="18" s="1"/>
  <c r="M129" i="18"/>
  <c r="N129" i="18" s="1"/>
  <c r="R129" i="18" s="1"/>
  <c r="M69" i="18"/>
  <c r="N69" i="18" s="1"/>
  <c r="R69" i="18" s="1"/>
  <c r="M173" i="18"/>
  <c r="N173" i="18" s="1"/>
  <c r="R173" i="18" s="1"/>
  <c r="M73" i="18"/>
  <c r="N73" i="18" s="1"/>
  <c r="R73" i="18" s="1"/>
  <c r="M155" i="18"/>
  <c r="N155" i="18" s="1"/>
  <c r="R155" i="18" s="1"/>
  <c r="M184" i="18"/>
  <c r="N184" i="18" s="1"/>
  <c r="R184" i="18" s="1"/>
  <c r="M40" i="18"/>
  <c r="N40" i="18" s="1"/>
  <c r="R40" i="18" s="1"/>
  <c r="M140" i="18"/>
  <c r="N140" i="18" s="1"/>
  <c r="R140" i="18" s="1"/>
  <c r="M210" i="18"/>
  <c r="N210" i="18" s="1"/>
  <c r="R210" i="18" s="1"/>
  <c r="M84" i="18"/>
  <c r="N84" i="18" s="1"/>
  <c r="R84" i="18" s="1"/>
  <c r="M42" i="18"/>
  <c r="N42" i="18" s="1"/>
  <c r="R42" i="18" s="1"/>
  <c r="M116" i="18"/>
  <c r="N116" i="18" s="1"/>
  <c r="R116" i="18" s="1"/>
  <c r="M208" i="18"/>
  <c r="N208" i="18" s="1"/>
  <c r="R208" i="18" s="1"/>
  <c r="M34" i="18"/>
  <c r="N34" i="18" s="1"/>
  <c r="R34" i="18" s="1"/>
  <c r="M124" i="18"/>
  <c r="N124" i="18" s="1"/>
  <c r="R124" i="18" s="1"/>
  <c r="M130" i="18"/>
  <c r="N130" i="18" s="1"/>
  <c r="R130" i="18" s="1"/>
  <c r="M189" i="18"/>
  <c r="N189" i="18" s="1"/>
  <c r="R189" i="18" s="1"/>
  <c r="M143" i="18"/>
  <c r="N143" i="18" s="1"/>
  <c r="R143" i="18" s="1"/>
  <c r="M159" i="18"/>
  <c r="N159" i="18" s="1"/>
  <c r="R159" i="18" s="1"/>
  <c r="M44" i="18"/>
  <c r="N44" i="18" s="1"/>
  <c r="R44" i="18" s="1"/>
  <c r="M82" i="18"/>
  <c r="N82" i="18" s="1"/>
  <c r="R82" i="18" s="1"/>
  <c r="M126" i="18"/>
  <c r="N126" i="18" s="1"/>
  <c r="R126" i="18" s="1"/>
  <c r="M149" i="18"/>
  <c r="N149" i="18" s="1"/>
  <c r="R149" i="18" s="1"/>
  <c r="M194" i="18"/>
  <c r="N194" i="18" s="1"/>
  <c r="R194" i="18" s="1"/>
  <c r="M101" i="18"/>
  <c r="N101" i="18" s="1"/>
  <c r="R101" i="18" s="1"/>
  <c r="M133" i="18"/>
  <c r="N133" i="18" s="1"/>
  <c r="R133" i="18" s="1"/>
  <c r="M13" i="18" l="1"/>
  <c r="N56" i="18"/>
  <c r="M212" i="18"/>
  <c r="N20" i="18"/>
  <c r="R20" i="18" l="1"/>
  <c r="N14" i="18"/>
  <c r="R56" i="18"/>
  <c r="R13" i="18" s="1"/>
  <c r="N13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<sst xmlns="http://schemas.openxmlformats.org/spreadsheetml/2006/main" count="418" uniqueCount="100">
  <si>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</si>
  <si>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</si>
  <si>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</si>
  <si>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</si>
  <si>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</si>
  <si>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</si>
  <si>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</si>
  <si>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</si>
  <si>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</si>
  <si>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</si>
  <si>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</si>
  <si>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</si>
  <si>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</si>
  <si>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</si>
  <si>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</si>
  <si>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</si>
  <si>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</si>
  <si>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</si>
  <si>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</si>
  <si>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</si>
  <si>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</si>
  <si>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</si>
  <si>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</si>
  <si>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</si>
  <si>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</si>
  <si>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</si>
  <si>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</si>
  <si>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</si>
  <si>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</si>
  <si>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</si>
  <si>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</si>
  <si>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</si>
  <si>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</si>
  <si>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</si>
  <si>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</si>
  <si>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</si>
  <si>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</si>
  <si>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</si>
  <si>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</si>
  <si>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</si>
  <si>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True-Up
(</t>
    </r>
    <r>
      <rPr>
        <sz val="10"/>
        <rFont val="Arial"/>
        <family val="2"/>
      </rPr>
      <t>w/o Interest)</t>
    </r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</si>
  <si>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</si>
  <si>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</si>
  <si>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</si>
  <si>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</si>
  <si>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Total
True-Up Surcharge / (Refund)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</si>
  <si>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</si>
  <si>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</si>
  <si>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</si>
  <si>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</si>
  <si>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</si>
  <si>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</si>
  <si>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</si>
  <si>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</si>
  <si>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</si>
  <si>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</si>
  <si>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</si>
  <si>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</si>
  <si>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</si>
  <si>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</si>
  <si>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</si>
  <si>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</si>
  <si>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</si>
  <si>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</si>
  <si>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</si>
  <si>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</si>
  <si>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</si>
  <si>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</si>
  <si>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</si>
  <si>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</si>
  <si>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</si>
  <si>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</si>
  <si>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</si>
  <si>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</si>
  <si>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</si>
  <si>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</si>
  <si>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</si>
  <si>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</si>
  <si>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</si>
  <si>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</si>
  <si>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</si>
  <si>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</si>
  <si>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</si>
  <si>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 xml:space="preserve">    &lt;&lt; OKLAHOMA TRANSMISSION COMPANY &gt;&gt;</t>
  </si>
  <si>
    <t>AEP Oklahoma Transco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</si>
  <si>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</si>
  <si>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</si>
  <si>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</si>
  <si>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</si>
  <si>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</si>
  <si>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</si>
  <si>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</si>
  <si>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</si>
  <si>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</si>
  <si>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</si>
  <si>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</si>
  <si>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</si>
  <si>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AEPTCo Formula Rate -- FERC Docket ER18-194</t>
  </si>
  <si>
    <t>Network Customer True-Up (Schedule 1 charges)</t>
  </si>
  <si>
    <t>2023 True Up Including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</si>
</sst>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7" xfId="2" applyNumberFormat="1" applyFont="1" applyBorder="1" applyProtection="1"/>
    <xf numFmtId="165" fontId="0" fillId="0" borderId="18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20" xfId="0" applyBorder="1"/>
    <xf numFmtId="0" fontId="9" fillId="3" borderId="21" xfId="0" quotePrefix="1" applyFont="1" applyFill="1" applyBorder="1" applyAlignment="1">
      <alignment horizontal="left" vertical="center" wrapText="1"/>
    </xf>
    <xf numFmtId="165" fontId="0" fillId="3" borderId="22" xfId="2" applyNumberFormat="1" applyFont="1" applyFill="1" applyBorder="1" applyAlignment="1" applyProtection="1">
      <alignment vertical="center"/>
    </xf>
    <xf numFmtId="165" fontId="0" fillId="3" borderId="23" xfId="2" applyNumberFormat="1" applyFont="1" applyFill="1" applyBorder="1" applyAlignment="1" applyProtection="1">
      <alignment vertical="center"/>
    </xf>
    <xf numFmtId="165" fontId="3" fillId="3" borderId="24" xfId="2" applyNumberFormat="1" applyFont="1" applyFill="1" applyBorder="1" applyAlignment="1" applyProtection="1">
      <alignment vertical="center"/>
    </xf>
    <xf numFmtId="0" fontId="0" fillId="0" borderId="26" xfId="0" quotePrefix="1" applyBorder="1" applyAlignment="1">
      <alignment horizontal="left"/>
    </xf>
    <xf numFmtId="0" fontId="0" fillId="0" borderId="19" xfId="0" applyBorder="1"/>
    <xf numFmtId="0" fontId="0" fillId="0" borderId="27" xfId="0" applyBorder="1"/>
    <xf numFmtId="0" fontId="9" fillId="0" borderId="21" xfId="0" quotePrefix="1" applyFont="1" applyBorder="1" applyAlignment="1">
      <alignment horizontal="left" vertical="center" wrapText="1"/>
    </xf>
    <xf numFmtId="165" fontId="0" fillId="0" borderId="22" xfId="2" applyNumberFormat="1" applyFont="1" applyFill="1" applyBorder="1" applyAlignment="1" applyProtection="1">
      <alignment vertical="center"/>
    </xf>
    <xf numFmtId="165" fontId="0" fillId="0" borderId="23" xfId="2" applyNumberFormat="1" applyFont="1" applyFill="1" applyBorder="1" applyAlignment="1" applyProtection="1">
      <alignment vertical="center"/>
    </xf>
    <xf numFmtId="165" fontId="3" fillId="0" borderId="24" xfId="2" applyNumberFormat="1" applyFont="1" applyFill="1" applyBorder="1" applyAlignment="1" applyProtection="1">
      <alignment vertical="center"/>
    </xf>
    <xf numFmtId="0" fontId="9" fillId="0" borderId="5" xfId="0" quotePrefix="1" applyFont="1" applyBorder="1" applyAlignment="1">
      <alignment horizontal="center" vertical="center" wrapText="1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5" fontId="0" fillId="0" borderId="30" xfId="2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1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1" xfId="0" quotePrefix="1" applyBorder="1" applyAlignment="1">
      <alignment horizontal="right"/>
    </xf>
    <xf numFmtId="0" fontId="0" fillId="0" borderId="23" xfId="0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3" fillId="0" borderId="25" xfId="0" applyNumberFormat="1" applyFont="1" applyBorder="1" applyAlignment="1">
      <alignment horizontal="right"/>
    </xf>
    <xf numFmtId="167" fontId="0" fillId="0" borderId="23" xfId="0" applyNumberFormat="1" applyBorder="1" applyAlignment="1">
      <alignment horizontal="center"/>
    </xf>
    <xf numFmtId="167" fontId="0" fillId="4" borderId="25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7" xfId="0" applyNumberFormat="1" applyFont="1" applyBorder="1" applyAlignment="1">
      <alignment horizontal="right"/>
    </xf>
    <xf numFmtId="14" fontId="1" fillId="0" borderId="17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1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1" xfId="0" applyNumberFormat="1" applyFont="1" applyBorder="1" applyAlignment="1">
      <alignment horizontal="center"/>
    </xf>
    <xf numFmtId="14" fontId="0" fillId="0" borderId="17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1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3" xfId="0" quotePrefix="1" applyFont="1" applyBorder="1" applyAlignment="1">
      <alignment horizontal="center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164" fontId="4" fillId="5" borderId="23" xfId="0" quotePrefix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9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4" xfId="0" applyNumberFormat="1" applyBorder="1" applyAlignment="1">
      <alignment horizontal="center"/>
    </xf>
    <xf numFmtId="14" fontId="1" fillId="0" borderId="34" xfId="0" applyNumberFormat="1" applyFont="1" applyBorder="1"/>
    <xf numFmtId="14" fontId="7" fillId="2" borderId="34" xfId="0" applyNumberFormat="1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14" fontId="1" fillId="0" borderId="0" xfId="0" applyNumberFormat="1" applyFont="1"/>
    <xf numFmtId="0" fontId="0" fillId="0" borderId="34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64" fontId="1" fillId="0" borderId="33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7" fontId="7" fillId="6" borderId="25" xfId="0" applyNumberFormat="1" applyFont="1" applyFill="1" applyBorder="1" applyAlignment="1">
      <alignment horizont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3" xfId="0" quotePrefix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4" xfId="0" quotePrefix="1" applyNumberFormat="1" applyFont="1" applyBorder="1" applyAlignment="1">
      <alignment horizontal="center" wrapText="1"/>
    </xf>
    <xf numFmtId="1" fontId="8" fillId="6" borderId="8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0" fontId="21" fillId="6" borderId="31" xfId="0" applyFont="1" applyFill="1" applyBorder="1"/>
    <xf numFmtId="0" fontId="0" fillId="0" borderId="35" xfId="0" applyBorder="1"/>
    <xf numFmtId="0" fontId="0" fillId="0" borderId="36" xfId="0" applyBorder="1"/>
    <xf numFmtId="0" fontId="0" fillId="0" borderId="35" xfId="0" pivotButton="1" applyBorder="1"/>
    <xf numFmtId="0" fontId="0" fillId="0" borderId="37" xfId="0" applyBorder="1"/>
    <xf numFmtId="17" fontId="0" fillId="0" borderId="35" xfId="0" applyNumberFormat="1" applyBorder="1"/>
    <xf numFmtId="17" fontId="0" fillId="0" borderId="38" xfId="0" applyNumberFormat="1" applyBorder="1"/>
    <xf numFmtId="17" fontId="0" fillId="0" borderId="39" xfId="0" applyNumberFormat="1" applyBorder="1"/>
    <xf numFmtId="166" fontId="0" fillId="0" borderId="35" xfId="0" applyNumberFormat="1" applyBorder="1"/>
    <xf numFmtId="166" fontId="0" fillId="0" borderId="38" xfId="0" applyNumberFormat="1" applyBorder="1"/>
    <xf numFmtId="166" fontId="0" fillId="0" borderId="39" xfId="0" applyNumberFormat="1" applyBorder="1"/>
    <xf numFmtId="0" fontId="0" fillId="0" borderId="40" xfId="0" applyBorder="1"/>
    <xf numFmtId="0" fontId="0" fillId="0" borderId="41" xfId="0" applyBorder="1"/>
    <xf numFmtId="166" fontId="14" fillId="0" borderId="41" xfId="0" applyNumberFormat="1" applyFont="1" applyBorder="1"/>
    <xf numFmtId="166" fontId="14" fillId="0" borderId="0" xfId="0" applyNumberFormat="1" applyFont="1"/>
    <xf numFmtId="166" fontId="14" fillId="0" borderId="42" xfId="0" applyNumberFormat="1" applyFont="1" applyBorder="1"/>
    <xf numFmtId="166" fontId="0" fillId="0" borderId="41" xfId="0" applyNumberFormat="1" applyBorder="1"/>
    <xf numFmtId="166" fontId="0" fillId="0" borderId="42" xfId="0" applyNumberFormat="1" applyBorder="1"/>
    <xf numFmtId="166" fontId="14" fillId="0" borderId="35" xfId="0" applyNumberFormat="1" applyFont="1" applyBorder="1"/>
    <xf numFmtId="166" fontId="14" fillId="0" borderId="38" xfId="0" applyNumberFormat="1" applyFont="1" applyBorder="1"/>
    <xf numFmtId="166" fontId="14" fillId="0" borderId="39" xfId="0" applyNumberFormat="1" applyFont="1" applyBorder="1"/>
    <xf numFmtId="0" fontId="0" fillId="0" borderId="43" xfId="0" applyBorder="1"/>
    <xf numFmtId="0" fontId="0" fillId="0" borderId="44" xfId="0" applyBorder="1"/>
    <xf numFmtId="166" fontId="0" fillId="0" borderId="43" xfId="0" applyNumberFormat="1" applyBorder="1"/>
    <xf numFmtId="166" fontId="0" fillId="0" borderId="45" xfId="0" applyNumberFormat="1" applyBorder="1"/>
    <xf numFmtId="166" fontId="0" fillId="0" borderId="46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40182013889" createdVersion="6" refreshedVersion="8" recordCount="192" xr:uid="{00000000-000A-0000-FFFF-FFFF9E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7.9978862239830235" maxValue="7.9978862239830235"/>
    </cacheField>
    <cacheField name="Actual True-Up Rate" numFmtId="164">
      <sharedItems containsSemiMixedTypes="0" containsString="0" containsNumber="1" minValue="6.1587610034538516" maxValue="6.1587610034538516"/>
    </cacheField>
    <cacheField name="True-Up Charge" numFmtId="164">
      <sharedItems containsSemiMixedTypes="0" containsString="0" containsNumber="1" minValue="0" maxValue="25312.50772419533"/>
    </cacheField>
    <cacheField name="Invoiced*** Charge (proj.)" numFmtId="164">
      <sharedItems containsSemiMixedTypes="0" containsString="0" containsNumber="1" minValue="0" maxValue="32871.312380570227"/>
    </cacheField>
    <cacheField name="True-Up w/o Interest" numFmtId="164">
      <sharedItems containsSemiMixedTypes="0" containsString="0" containsNumber="1" minValue="-7558.8046563748976" maxValue="0"/>
    </cacheField>
    <cacheField name="Interest" numFmtId="164">
      <sharedItems containsSemiMixedTypes="0" containsString="0" containsNumber="1" minValue="-541.27989117505001" maxValue="0"/>
    </cacheField>
    <cacheField name="2023 True Up Including Interest" numFmtId="164">
      <sharedItems containsSemiMixedTypes="0" containsString="0" containsNumber="1" minValue="-8100.0845475499473" maxValue="0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-8100.084547549947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7.9978862239830235"/>
    <n v="6.1587610034538516"/>
    <n v="18112.916111157778"/>
    <n v="23521.783384734073"/>
    <n v="-5408.8672735762957"/>
    <n v="-387.32461312550424"/>
    <n v="-5796.1918867018003"/>
    <n v="0"/>
    <n v="0"/>
    <n v="0"/>
    <n v="-5796.1918867018003"/>
  </r>
  <r>
    <x v="1"/>
    <d v="2025-03-05T00:00:00"/>
    <d v="2025-03-24T00:00:00"/>
    <x v="0"/>
    <n v="9"/>
    <n v="3221"/>
    <n v="7.9978862239830235"/>
    <n v="6.1587610034538516"/>
    <n v="19837.369192124857"/>
    <n v="25761.191527449319"/>
    <n v="-5923.8223353244612"/>
    <n v="-424.20012882599423"/>
    <n v="-6348.0224641504556"/>
    <n v="0"/>
    <n v="0"/>
    <n v="0"/>
    <n v="-6348.0224641504556"/>
  </r>
  <r>
    <x v="2"/>
    <d v="2025-04-03T00:00:00"/>
    <d v="2025-04-24T00:00:00"/>
    <x v="0"/>
    <n v="9"/>
    <n v="2419"/>
    <n v="7.9978862239830235"/>
    <n v="6.1587610034538516"/>
    <n v="14898.042867354867"/>
    <n v="19346.886775814935"/>
    <n v="-4448.8439084600686"/>
    <n v="-318.5781159981621"/>
    <n v="-4767.4220244582311"/>
    <n v="0"/>
    <n v="0"/>
    <n v="0"/>
    <n v="-4767.4220244582311"/>
  </r>
  <r>
    <x v="3"/>
    <d v="2025-05-05T00:00:00"/>
    <d v="2025-05-26T00:00:00"/>
    <x v="0"/>
    <n v="9"/>
    <n v="2717"/>
    <n v="7.9978862239830235"/>
    <n v="6.1587610034538516"/>
    <n v="16733.353646384116"/>
    <n v="21730.256870561876"/>
    <n v="-4996.9032241777604"/>
    <n v="-357.82420056511216"/>
    <n v="-5354.7274247428722"/>
    <n v="0"/>
    <n v="0"/>
    <n v="0"/>
    <n v="-5354.7274247428722"/>
  </r>
  <r>
    <x v="4"/>
    <d v="2025-06-04T00:00:00"/>
    <d v="2025-06-24T00:00:00"/>
    <x v="0"/>
    <n v="9"/>
    <n v="3378"/>
    <n v="7.9978862239830235"/>
    <n v="6.1587610034538516"/>
    <n v="20804.29466966711"/>
    <n v="27016.859664614654"/>
    <n v="-6212.5649949475446"/>
    <n v="-444.8767572723404"/>
    <n v="-6657.4417522198846"/>
    <n v="0"/>
    <n v="0"/>
    <n v="0"/>
    <n v="-6657.4417522198846"/>
  </r>
  <r>
    <x v="5"/>
    <d v="2025-07-03T00:00:00"/>
    <d v="2025-07-24T00:00:00"/>
    <x v="0"/>
    <n v="9"/>
    <n v="3824"/>
    <n v="7.9978862239830235"/>
    <n v="6.1587610034538516"/>
    <n v="23551.102077207528"/>
    <n v="30583.916920511081"/>
    <n v="-7032.8148433035531"/>
    <n v="-503.61418585240671"/>
    <n v="-7536.4290291559601"/>
    <n v="0"/>
    <n v="0"/>
    <n v="0"/>
    <n v="-7536.4290291559601"/>
  </r>
  <r>
    <x v="6"/>
    <d v="2025-08-05T00:00:00"/>
    <d v="2025-08-25T00:00:00"/>
    <x v="0"/>
    <n v="9"/>
    <n v="4110"/>
    <n v="7.9978862239830235"/>
    <n v="6.1587610034538516"/>
    <n v="25312.50772419533"/>
    <n v="32871.312380570227"/>
    <n v="-7558.8046563748976"/>
    <n v="-541.27989117505001"/>
    <n v="-8100.0845475499473"/>
    <n v="0"/>
    <n v="0"/>
    <n v="0"/>
    <n v="-8100.0845475499473"/>
  </r>
  <r>
    <x v="7"/>
    <d v="2025-09-04T00:00:00"/>
    <d v="2025-09-24T00:00:00"/>
    <x v="0"/>
    <n v="9"/>
    <n v="4096"/>
    <n v="7.9978862239830235"/>
    <n v="6.1587610034538516"/>
    <n v="25226.285070146976"/>
    <n v="32759.341973434464"/>
    <n v="-7533.0569032874882"/>
    <n v="-539.43611539002552"/>
    <n v="-8072.4930186775136"/>
    <n v="0"/>
    <n v="0"/>
    <n v="0"/>
    <n v="-8072.4930186775136"/>
  </r>
  <r>
    <x v="8"/>
    <d v="2025-10-03T00:00:00"/>
    <d v="2025-10-24T00:00:00"/>
    <x v="0"/>
    <n v="9"/>
    <n v="3657"/>
    <n v="7.9978862239830235"/>
    <n v="6.1587610034538516"/>
    <n v="22522.588989630734"/>
    <n v="29248.269921105915"/>
    <n v="-6725.6809314751808"/>
    <n v="-481.62057470247157"/>
    <n v="-7207.3015061776523"/>
    <n v="0"/>
    <n v="0"/>
    <n v="0"/>
    <n v="-7207.3015061776523"/>
  </r>
  <r>
    <x v="9"/>
    <d v="2025-11-05T00:00:00"/>
    <d v="2025-11-24T00:00:00"/>
    <x v="0"/>
    <n v="9"/>
    <n v="3261"/>
    <n v="7.9978862239830235"/>
    <n v="6.1587610034538516"/>
    <n v="20083.719632263012"/>
    <n v="26081.106976408639"/>
    <n v="-5997.3873441456271"/>
    <n v="-429.46805964034996"/>
    <n v="-6426.8554037859767"/>
    <n v="0"/>
    <n v="0"/>
    <n v="0"/>
    <n v="-6426.8554037859767"/>
  </r>
  <r>
    <x v="10"/>
    <d v="2025-12-03T00:00:00"/>
    <d v="2025-12-24T00:00:00"/>
    <x v="0"/>
    <n v="9"/>
    <n v="2449"/>
    <n v="7.9978862239830235"/>
    <n v="6.1587610034538516"/>
    <n v="15082.805697458483"/>
    <n v="19586.823362534426"/>
    <n v="-4504.0176650759422"/>
    <n v="-322.52906410892888"/>
    <n v="-4826.5467291848709"/>
    <n v="0"/>
    <n v="0"/>
    <n v="0"/>
    <n v="-4826.5467291848709"/>
  </r>
  <r>
    <x v="11"/>
    <d v="2026-01-06T00:00:00"/>
    <d v="2026-01-26T00:00:00"/>
    <x v="0"/>
    <n v="9"/>
    <n v="2817"/>
    <n v="7.9978862239830235"/>
    <n v="6.1587610034538516"/>
    <n v="17349.229746729499"/>
    <n v="22530.045492960176"/>
    <n v="-5180.8157462306772"/>
    <n v="-370.99402760100145"/>
    <n v="-5551.8097738316783"/>
    <n v="0"/>
    <n v="0"/>
    <n v="0"/>
    <n v="-5551.8097738316783"/>
  </r>
  <r>
    <x v="0"/>
    <d v="2025-02-05T00:00:00"/>
    <d v="2025-02-24T00:00:00"/>
    <x v="1"/>
    <n v="9"/>
    <n v="3414"/>
    <n v="7.9978862239830235"/>
    <n v="6.1587610034538516"/>
    <n v="21026.010065791448"/>
    <n v="27304.783568678042"/>
    <n v="-6278.7735028865936"/>
    <n v="-449.61789500526061"/>
    <n v="-6728.3913978918545"/>
    <n v="0"/>
    <n v="0"/>
    <n v="0"/>
    <n v="-6728.3913978918545"/>
  </r>
  <r>
    <x v="1"/>
    <d v="2025-03-05T00:00:00"/>
    <d v="2025-03-24T00:00:00"/>
    <x v="1"/>
    <n v="9"/>
    <n v="3330"/>
    <n v="7.9978862239830235"/>
    <n v="6.1587610034538516"/>
    <n v="20508.674141501328"/>
    <n v="26632.961125863469"/>
    <n v="-6124.2869843621411"/>
    <n v="-438.55524029511355"/>
    <n v="-6562.8422246572545"/>
    <n v="0"/>
    <n v="0"/>
    <n v="0"/>
    <n v="-6562.8422246572545"/>
  </r>
  <r>
    <x v="2"/>
    <d v="2025-04-03T00:00:00"/>
    <d v="2025-04-24T00:00:00"/>
    <x v="1"/>
    <n v="9"/>
    <n v="2483"/>
    <n v="7.9978862239830235"/>
    <n v="6.1587610034538516"/>
    <n v="15292.203571575914"/>
    <n v="19858.751494149848"/>
    <n v="-4566.5479225739346"/>
    <n v="-327.00680530113124"/>
    <n v="-4893.5547278750655"/>
    <n v="0"/>
    <n v="0"/>
    <n v="0"/>
    <n v="-4893.5547278750655"/>
  </r>
  <r>
    <x v="3"/>
    <d v="2025-05-05T00:00:00"/>
    <d v="2025-05-26T00:00:00"/>
    <x v="1"/>
    <n v="9"/>
    <n v="2549"/>
    <n v="7.9978862239830235"/>
    <n v="6.1587610034538516"/>
    <n v="15698.681797803867"/>
    <n v="20386.611984932726"/>
    <n v="-4687.930187128859"/>
    <n v="-335.69889114481816"/>
    <n v="-5023.6290782736769"/>
    <n v="0"/>
    <n v="0"/>
    <n v="0"/>
    <n v="-5023.6290782736769"/>
  </r>
  <r>
    <x v="4"/>
    <d v="2025-06-04T00:00:00"/>
    <d v="2025-06-24T00:00:00"/>
    <x v="1"/>
    <n v="9"/>
    <n v="3007"/>
    <n v="7.9978862239830235"/>
    <n v="6.1587610034538516"/>
    <n v="18519.394337385733"/>
    <n v="24049.643875516951"/>
    <n v="-5530.2495381312183"/>
    <n v="-396.01669896919111"/>
    <n v="-5926.2662371004099"/>
    <n v="0"/>
    <n v="0"/>
    <n v="0"/>
    <n v="-5926.2662371004099"/>
  </r>
  <r>
    <x v="5"/>
    <d v="2025-07-03T00:00:00"/>
    <d v="2025-07-24T00:00:00"/>
    <x v="1"/>
    <n v="9"/>
    <n v="3377"/>
    <n v="7.9978862239830235"/>
    <n v="6.1587610034538516"/>
    <n v="20798.135908663658"/>
    <n v="27008.86177839067"/>
    <n v="-6210.7258697270117"/>
    <n v="-444.74505900198153"/>
    <n v="-6655.4709287289934"/>
    <n v="0"/>
    <n v="0"/>
    <n v="0"/>
    <n v="-6655.4709287289934"/>
  </r>
  <r>
    <x v="6"/>
    <d v="2025-08-05T00:00:00"/>
    <d v="2025-08-25T00:00:00"/>
    <x v="1"/>
    <n v="9"/>
    <n v="3723"/>
    <n v="7.9978862239830235"/>
    <n v="6.1587610034538516"/>
    <n v="22929.067215858689"/>
    <n v="29776.130411888797"/>
    <n v="-6847.0631960301071"/>
    <n v="-490.31266054615855"/>
    <n v="-7337.3758565762655"/>
    <n v="0"/>
    <n v="0"/>
    <n v="0"/>
    <n v="-7337.3758565762655"/>
  </r>
  <r>
    <x v="7"/>
    <d v="2025-09-04T00:00:00"/>
    <d v="2025-09-24T00:00:00"/>
    <x v="1"/>
    <n v="9"/>
    <n v="3715"/>
    <n v="7.9978862239830235"/>
    <n v="6.1587610034538516"/>
    <n v="22879.797127831058"/>
    <n v="29712.147322096931"/>
    <n v="-6832.3501942658731"/>
    <n v="-489.25907438328738"/>
    <n v="-7321.6092686491602"/>
    <n v="0"/>
    <n v="0"/>
    <n v="0"/>
    <n v="-7321.6092686491602"/>
  </r>
  <r>
    <x v="8"/>
    <d v="2025-10-03T00:00:00"/>
    <d v="2025-10-24T00:00:00"/>
    <x v="1"/>
    <n v="9"/>
    <n v="3256"/>
    <n v="7.9978862239830235"/>
    <n v="6.1587610034538516"/>
    <n v="20052.925827245741"/>
    <n v="26041.117545288726"/>
    <n v="-5988.1917180429846"/>
    <n v="-428.80956828855551"/>
    <n v="-6417.0012863315405"/>
    <n v="0"/>
    <n v="0"/>
    <n v="0"/>
    <n v="-6417.0012863315405"/>
  </r>
  <r>
    <x v="9"/>
    <d v="2025-11-05T00:00:00"/>
    <d v="2025-11-24T00:00:00"/>
    <x v="1"/>
    <n v="9"/>
    <n v="3014"/>
    <n v="7.9978862239830235"/>
    <n v="6.1587610034538516"/>
    <n v="18562.50566440991"/>
    <n v="24105.629079084832"/>
    <n v="-5543.123414674923"/>
    <n v="-396.93858686170336"/>
    <n v="-5940.0620015366267"/>
    <n v="0"/>
    <n v="0"/>
    <n v="0"/>
    <n v="-5940.0620015366267"/>
  </r>
  <r>
    <x v="10"/>
    <d v="2025-12-03T00:00:00"/>
    <d v="2025-12-24T00:00:00"/>
    <x v="1"/>
    <n v="9"/>
    <n v="2338"/>
    <n v="7.9978862239830235"/>
    <n v="6.1587610034538516"/>
    <n v="14399.183226075105"/>
    <n v="18699.057991672307"/>
    <n v="-4299.874765597202"/>
    <n v="-307.91055609909176"/>
    <n v="-4607.785321696294"/>
    <n v="0"/>
    <n v="0"/>
    <n v="0"/>
    <n v="-4607.785321696294"/>
  </r>
  <r>
    <x v="11"/>
    <d v="2026-01-06T00:00:00"/>
    <d v="2026-01-26T00:00:00"/>
    <x v="1"/>
    <n v="9"/>
    <n v="2969"/>
    <n v="7.9978862239830235"/>
    <n v="6.1587610034538516"/>
    <n v="18285.361419254485"/>
    <n v="23745.724199005595"/>
    <n v="-5460.3627797511108"/>
    <n v="-391.01216469555322"/>
    <n v="-5851.3749444466639"/>
    <n v="0"/>
    <n v="0"/>
    <n v="0"/>
    <n v="-5851.3749444466639"/>
  </r>
  <r>
    <x v="0"/>
    <d v="2025-02-05T00:00:00"/>
    <d v="2025-02-24T00:00:00"/>
    <x v="2"/>
    <n v="9"/>
    <n v="211"/>
    <n v="7.9978862239830235"/>
    <n v="6.1587610034538516"/>
    <n v="1299.4985717287627"/>
    <n v="1687.5539932604179"/>
    <n v="-388.05542153165516"/>
    <n v="-27.788335045726416"/>
    <n v="-415.84375657738155"/>
    <n v="0"/>
    <n v="0"/>
    <n v="0"/>
    <n v="-415.84375657738155"/>
  </r>
  <r>
    <x v="1"/>
    <d v="2025-03-05T00:00:00"/>
    <d v="2025-03-24T00:00:00"/>
    <x v="2"/>
    <n v="9"/>
    <n v="200"/>
    <n v="7.9978862239830235"/>
    <n v="6.1587610034538516"/>
    <n v="1231.7522006907702"/>
    <n v="1599.5772447966046"/>
    <n v="-367.82504410583442"/>
    <n v="-26.339654071778593"/>
    <n v="-394.16469817761299"/>
    <n v="0"/>
    <n v="0"/>
    <n v="0"/>
    <n v="-394.16469817761299"/>
  </r>
  <r>
    <x v="2"/>
    <d v="2025-04-03T00:00:00"/>
    <d v="2025-04-24T00:00:00"/>
    <x v="2"/>
    <n v="9"/>
    <n v="122"/>
    <n v="7.9978862239830235"/>
    <n v="6.1587610034538516"/>
    <n v="751.36884242136989"/>
    <n v="975.74211932592891"/>
    <n v="-224.37327690455902"/>
    <n v="-16.067188983784941"/>
    <n v="-240.44046588834397"/>
    <n v="0"/>
    <n v="0"/>
    <n v="0"/>
    <n v="-240.44046588834397"/>
  </r>
  <r>
    <x v="3"/>
    <d v="2025-05-05T00:00:00"/>
    <d v="2025-05-26T00:00:00"/>
    <x v="2"/>
    <n v="9"/>
    <n v="109"/>
    <n v="7.9978862239830235"/>
    <n v="6.1587610034538516"/>
    <n v="671.30494937646984"/>
    <n v="871.76959841414953"/>
    <n v="-200.46464903767969"/>
    <n v="-14.355111469119334"/>
    <n v="-214.81976050679901"/>
    <n v="0"/>
    <n v="0"/>
    <n v="0"/>
    <n v="-214.81976050679901"/>
  </r>
  <r>
    <x v="4"/>
    <d v="2025-06-04T00:00:00"/>
    <d v="2025-06-24T00:00:00"/>
    <x v="2"/>
    <n v="9"/>
    <n v="102"/>
    <n v="7.9978862239830235"/>
    <n v="6.1587610034538516"/>
    <n v="628.19362235229289"/>
    <n v="815.78439484626836"/>
    <n v="-187.59077249397546"/>
    <n v="-13.433223576607082"/>
    <n v="-201.02399607058254"/>
    <n v="0"/>
    <n v="0"/>
    <n v="0"/>
    <n v="-201.02399607058254"/>
  </r>
  <r>
    <x v="5"/>
    <d v="2025-07-03T00:00:00"/>
    <d v="2025-07-24T00:00:00"/>
    <x v="2"/>
    <n v="9"/>
    <n v="131"/>
    <n v="7.9978862239830235"/>
    <n v="6.1587610034538516"/>
    <n v="806.7976914524545"/>
    <n v="1047.7230953417761"/>
    <n v="-240.92540388932161"/>
    <n v="-17.252473417014979"/>
    <n v="-258.1778773063366"/>
    <n v="0"/>
    <n v="0"/>
    <n v="0"/>
    <n v="-258.1778773063366"/>
  </r>
  <r>
    <x v="6"/>
    <d v="2025-08-05T00:00:00"/>
    <d v="2025-08-25T00:00:00"/>
    <x v="2"/>
    <n v="9"/>
    <n v="146"/>
    <n v="7.9978862239830235"/>
    <n v="6.1587610034538516"/>
    <n v="899.17910650426234"/>
    <n v="1167.6913887015214"/>
    <n v="-268.51228219725908"/>
    <n v="-19.227947472398373"/>
    <n v="-287.74022966965748"/>
    <n v="0"/>
    <n v="0"/>
    <n v="0"/>
    <n v="-287.74022966965748"/>
  </r>
  <r>
    <x v="7"/>
    <d v="2025-09-04T00:00:00"/>
    <d v="2025-09-24T00:00:00"/>
    <x v="2"/>
    <n v="9"/>
    <n v="149"/>
    <n v="7.9978862239830235"/>
    <n v="6.1587610034538516"/>
    <n v="917.65538951462383"/>
    <n v="1191.6850473734705"/>
    <n v="-274.02965785884669"/>
    <n v="-19.623042283475051"/>
    <n v="-293.65270014232175"/>
    <n v="0"/>
    <n v="0"/>
    <n v="0"/>
    <n v="-293.65270014232175"/>
  </r>
  <r>
    <x v="8"/>
    <d v="2025-10-03T00:00:00"/>
    <d v="2025-10-24T00:00:00"/>
    <x v="2"/>
    <n v="9"/>
    <n v="122"/>
    <n v="7.9978862239830235"/>
    <n v="6.1587610034538516"/>
    <n v="751.36884242136989"/>
    <n v="975.74211932592891"/>
    <n v="-224.37327690455902"/>
    <n v="-16.067188983784941"/>
    <n v="-240.44046588834397"/>
    <n v="0"/>
    <n v="0"/>
    <n v="0"/>
    <n v="-240.44046588834397"/>
  </r>
  <r>
    <x v="9"/>
    <d v="2025-11-05T00:00:00"/>
    <d v="2025-11-24T00:00:00"/>
    <x v="2"/>
    <n v="9"/>
    <n v="117"/>
    <n v="7.9978862239830235"/>
    <n v="6.1587610034538516"/>
    <n v="720.57503740410061"/>
    <n v="935.75268820601377"/>
    <n v="-215.17765080191316"/>
    <n v="-15.408697631990478"/>
    <n v="-230.58634843390365"/>
    <n v="0"/>
    <n v="0"/>
    <n v="0"/>
    <n v="-230.58634843390365"/>
  </r>
  <r>
    <x v="10"/>
    <d v="2025-12-03T00:00:00"/>
    <d v="2025-12-24T00:00:00"/>
    <x v="2"/>
    <n v="9"/>
    <n v="118"/>
    <n v="7.9978862239830235"/>
    <n v="6.1587610034538516"/>
    <n v="726.73379840755445"/>
    <n v="943.75057442999673"/>
    <n v="-217.01677602244229"/>
    <n v="-15.540395902349371"/>
    <n v="-232.55717192479165"/>
    <n v="0"/>
    <n v="0"/>
    <n v="0"/>
    <n v="-232.55717192479165"/>
  </r>
  <r>
    <x v="11"/>
    <d v="2026-01-06T00:00:00"/>
    <d v="2026-01-26T00:00:00"/>
    <x v="2"/>
    <n v="9"/>
    <n v="178"/>
    <n v="7.9978862239830235"/>
    <n v="6.1587610034538516"/>
    <n v="1096.2594586147857"/>
    <n v="1423.6237478689782"/>
    <n v="-327.3642892541925"/>
    <n v="-23.442292123882947"/>
    <n v="-350.80658137807546"/>
    <n v="0"/>
    <n v="0"/>
    <n v="0"/>
    <n v="-350.80658137807546"/>
  </r>
  <r>
    <x v="0"/>
    <d v="2025-02-05T00:00:00"/>
    <d v="2025-02-24T00:00:00"/>
    <x v="3"/>
    <n v="9"/>
    <n v="966"/>
    <n v="7.9978862239830235"/>
    <n v="6.1587610034538516"/>
    <n v="5949.3631293364206"/>
    <n v="7725.9580923676003"/>
    <n v="-1776.5949630311798"/>
    <n v="-127.22052916669061"/>
    <n v="-1903.8154921978703"/>
    <n v="0"/>
    <n v="0"/>
    <n v="0"/>
    <n v="-1903.8154921978703"/>
  </r>
  <r>
    <x v="1"/>
    <d v="2025-03-05T00:00:00"/>
    <d v="2025-03-24T00:00:00"/>
    <x v="3"/>
    <n v="9"/>
    <n v="1102"/>
    <n v="7.9978862239830235"/>
    <n v="6.1587610034538516"/>
    <n v="6786.9546258061446"/>
    <n v="8813.6706188292919"/>
    <n v="-2026.7159930231473"/>
    <n v="-145.13149393550003"/>
    <n v="-2171.8474869586476"/>
    <n v="0"/>
    <n v="0"/>
    <n v="0"/>
    <n v="-2171.8474869586476"/>
  </r>
  <r>
    <x v="2"/>
    <d v="2025-04-03T00:00:00"/>
    <d v="2025-04-24T00:00:00"/>
    <x v="3"/>
    <n v="9"/>
    <n v="715"/>
    <n v="7.9978862239830235"/>
    <n v="6.1587610034538516"/>
    <n v="4403.5141174695036"/>
    <n v="5718.4886501478622"/>
    <n v="-1314.9745326783586"/>
    <n v="-94.164263306608461"/>
    <n v="-1409.1387959849671"/>
    <n v="0"/>
    <n v="0"/>
    <n v="0"/>
    <n v="-1409.1387959849671"/>
  </r>
  <r>
    <x v="3"/>
    <d v="2025-05-05T00:00:00"/>
    <d v="2025-05-26T00:00:00"/>
    <x v="3"/>
    <n v="9"/>
    <n v="581"/>
    <n v="7.9978862239830235"/>
    <n v="6.1587610034538516"/>
    <n v="3578.240143006688"/>
    <n v="4646.771896134137"/>
    <n v="-1068.5317531274491"/>
    <n v="-76.516695078516804"/>
    <n v="-1145.0484482059658"/>
    <n v="0"/>
    <n v="0"/>
    <n v="0"/>
    <n v="-1145.0484482059658"/>
  </r>
  <r>
    <x v="4"/>
    <d v="2025-06-04T00:00:00"/>
    <d v="2025-06-24T00:00:00"/>
    <x v="3"/>
    <n v="9"/>
    <n v="781"/>
    <n v="7.9978862239830235"/>
    <n v="6.1587610034538516"/>
    <n v="4809.9923436974577"/>
    <n v="6246.3491409307417"/>
    <n v="-1436.3567972332839"/>
    <n v="-102.8563491502954"/>
    <n v="-1539.2131463835794"/>
    <n v="0"/>
    <n v="0"/>
    <n v="0"/>
    <n v="-1539.2131463835794"/>
  </r>
  <r>
    <x v="5"/>
    <d v="2025-07-03T00:00:00"/>
    <d v="2025-07-24T00:00:00"/>
    <x v="3"/>
    <n v="9"/>
    <n v="896"/>
    <n v="7.9978862239830235"/>
    <n v="6.1587610034538516"/>
    <n v="5518.2498590946507"/>
    <n v="7166.1060566887891"/>
    <n v="-1647.8561975941384"/>
    <n v="-118.00165024156809"/>
    <n v="-1765.8578478357065"/>
    <n v="0"/>
    <n v="0"/>
    <n v="0"/>
    <n v="-1765.8578478357065"/>
  </r>
  <r>
    <x v="6"/>
    <d v="2025-08-05T00:00:00"/>
    <d v="2025-08-25T00:00:00"/>
    <x v="3"/>
    <n v="9"/>
    <n v="1028"/>
    <n v="7.9978862239830235"/>
    <n v="6.1587610034538516"/>
    <n v="6331.2063115505598"/>
    <n v="8221.8270382545488"/>
    <n v="-1890.620726703989"/>
    <n v="-135.38582192894197"/>
    <n v="-2026.0065486329311"/>
    <n v="0"/>
    <n v="0"/>
    <n v="0"/>
    <n v="-2026.0065486329311"/>
  </r>
  <r>
    <x v="7"/>
    <d v="2025-09-04T00:00:00"/>
    <d v="2025-09-24T00:00:00"/>
    <x v="3"/>
    <n v="9"/>
    <n v="1055"/>
    <n v="7.9978862239830235"/>
    <n v="6.1587610034538516"/>
    <n v="6497.4928586438136"/>
    <n v="8437.7699663020903"/>
    <n v="-1940.2771076582767"/>
    <n v="-138.94167522863208"/>
    <n v="-2079.2187828869087"/>
    <n v="0"/>
    <n v="0"/>
    <n v="0"/>
    <n v="-2079.2187828869087"/>
  </r>
  <r>
    <x v="8"/>
    <d v="2025-10-03T00:00:00"/>
    <d v="2025-10-24T00:00:00"/>
    <x v="3"/>
    <n v="9"/>
    <n v="815"/>
    <n v="7.9978862239830235"/>
    <n v="6.1587610034538516"/>
    <n v="5019.3902178148892"/>
    <n v="6518.2772725461646"/>
    <n v="-1498.8870547312754"/>
    <n v="-107.33409034249776"/>
    <n v="-1606.2211450737732"/>
    <n v="0"/>
    <n v="0"/>
    <n v="0"/>
    <n v="-1606.2211450737732"/>
  </r>
  <r>
    <x v="9"/>
    <d v="2025-11-05T00:00:00"/>
    <d v="2025-11-24T00:00:00"/>
    <x v="3"/>
    <n v="9"/>
    <n v="738"/>
    <n v="7.9978862239830235"/>
    <n v="6.1587610034538516"/>
    <n v="4545.1656205489426"/>
    <n v="5902.440033299471"/>
    <n v="-1357.2744127505284"/>
    <n v="-97.193323524863004"/>
    <n v="-1454.4677362753914"/>
    <n v="0"/>
    <n v="0"/>
    <n v="0"/>
    <n v="-1454.4677362753914"/>
  </r>
  <r>
    <x v="10"/>
    <d v="2025-12-03T00:00:00"/>
    <d v="2025-12-24T00:00:00"/>
    <x v="3"/>
    <n v="9"/>
    <n v="706"/>
    <n v="7.9978862239830235"/>
    <n v="6.1587610034538516"/>
    <n v="4348.085268438419"/>
    <n v="5646.5076741320145"/>
    <n v="-1298.4224056935955"/>
    <n v="-92.978978873378438"/>
    <n v="-1391.401384566974"/>
    <n v="0"/>
    <n v="0"/>
    <n v="0"/>
    <n v="-1391.401384566974"/>
  </r>
  <r>
    <x v="11"/>
    <d v="2026-01-06T00:00:00"/>
    <d v="2026-01-26T00:00:00"/>
    <x v="3"/>
    <n v="9"/>
    <n v="863"/>
    <n v="7.9978862239830235"/>
    <n v="6.1587610034538516"/>
    <n v="5315.0107459806741"/>
    <n v="6902.1758112973494"/>
    <n v="-1587.1650653166753"/>
    <n v="-113.65560731972461"/>
    <n v="-1700.8206726363999"/>
    <n v="0"/>
    <n v="0"/>
    <n v="0"/>
    <n v="-1700.8206726363999"/>
  </r>
  <r>
    <x v="0"/>
    <d v="2025-02-05T00:00:00"/>
    <d v="2025-02-24T00:00:00"/>
    <x v="4"/>
    <n v="9"/>
    <n v="47"/>
    <n v="7.9978862239830235"/>
    <n v="6.1587610034538516"/>
    <n v="289.461767162331"/>
    <n v="375.90065252720211"/>
    <n v="-86.438885364871112"/>
    <n v="-6.1898187068679693"/>
    <n v="-92.628704071739079"/>
    <n v="0"/>
    <n v="0"/>
    <n v="0"/>
    <n v="-92.628704071739079"/>
  </r>
  <r>
    <x v="1"/>
    <d v="2025-03-05T00:00:00"/>
    <d v="2025-03-24T00:00:00"/>
    <x v="4"/>
    <n v="9"/>
    <n v="57"/>
    <n v="7.9978862239830235"/>
    <n v="6.1587610034538516"/>
    <n v="351.04937719686956"/>
    <n v="455.87951476703233"/>
    <n v="-104.83013757016278"/>
    <n v="-7.506801410456899"/>
    <n v="-112.33693898061968"/>
    <n v="0"/>
    <n v="0"/>
    <n v="0"/>
    <n v="-112.33693898061968"/>
  </r>
  <r>
    <x v="2"/>
    <d v="2025-04-03T00:00:00"/>
    <d v="2025-04-24T00:00:00"/>
    <x v="4"/>
    <n v="9"/>
    <n v="34"/>
    <n v="7.9978862239830235"/>
    <n v="6.1587610034538516"/>
    <n v="209.39787411743094"/>
    <n v="271.92813161542279"/>
    <n v="-62.53025749799184"/>
    <n v="-4.4777411922023607"/>
    <n v="-67.007998690194199"/>
    <n v="0"/>
    <n v="0"/>
    <n v="0"/>
    <n v="-67.007998690194199"/>
  </r>
  <r>
    <x v="3"/>
    <d v="2025-05-05T00:00:00"/>
    <d v="2025-05-26T00:00:00"/>
    <x v="4"/>
    <n v="9"/>
    <n v="27"/>
    <n v="7.9978862239830235"/>
    <n v="6.1587610034538516"/>
    <n v="166.286547093254"/>
    <n v="215.94292804754164"/>
    <n v="-49.656380954287641"/>
    <n v="-3.55585329969011"/>
    <n v="-53.212234253977755"/>
    <n v="0"/>
    <n v="0"/>
    <n v="0"/>
    <n v="-53.212234253977755"/>
  </r>
  <r>
    <x v="4"/>
    <d v="2025-06-04T00:00:00"/>
    <d v="2025-06-24T00:00:00"/>
    <x v="4"/>
    <n v="9"/>
    <n v="40"/>
    <n v="7.9978862239830235"/>
    <n v="6.1587610034538516"/>
    <n v="246.35044013815406"/>
    <n v="319.91544895932094"/>
    <n v="-73.565008821166884"/>
    <n v="-5.2679308143557178"/>
    <n v="-78.832939635522607"/>
    <n v="0"/>
    <n v="0"/>
    <n v="0"/>
    <n v="-78.832939635522607"/>
  </r>
  <r>
    <x v="5"/>
    <d v="2025-07-03T00:00:00"/>
    <d v="2025-07-24T00:00:00"/>
    <x v="4"/>
    <n v="9"/>
    <n v="46"/>
    <n v="7.9978862239830235"/>
    <n v="6.1587610034538516"/>
    <n v="283.30300615887717"/>
    <n v="367.9027663032191"/>
    <n v="-84.599760144341928"/>
    <n v="-6.0581204365090766"/>
    <n v="-90.657880580851"/>
    <n v="0"/>
    <n v="0"/>
    <n v="0"/>
    <n v="-90.657880580851"/>
  </r>
  <r>
    <x v="6"/>
    <d v="2025-08-05T00:00:00"/>
    <d v="2025-08-25T00:00:00"/>
    <x v="4"/>
    <n v="9"/>
    <n v="55"/>
    <n v="7.9978862239830235"/>
    <n v="6.1587610034538516"/>
    <n v="338.73185518996183"/>
    <n v="439.8837423190663"/>
    <n v="-101.15188712910447"/>
    <n v="-7.2434048697391136"/>
    <n v="-108.39529199884358"/>
    <n v="0"/>
    <n v="0"/>
    <n v="0"/>
    <n v="-108.39529199884358"/>
  </r>
  <r>
    <x v="7"/>
    <d v="2025-09-04T00:00:00"/>
    <d v="2025-09-24T00:00:00"/>
    <x v="4"/>
    <n v="9"/>
    <n v="55"/>
    <n v="7.9978862239830235"/>
    <n v="6.1587610034538516"/>
    <n v="338.73185518996183"/>
    <n v="439.8837423190663"/>
    <n v="-101.15188712910447"/>
    <n v="-7.2434048697391136"/>
    <n v="-108.39529199884358"/>
    <n v="0"/>
    <n v="0"/>
    <n v="0"/>
    <n v="-108.39529199884358"/>
  </r>
  <r>
    <x v="8"/>
    <d v="2025-10-03T00:00:00"/>
    <d v="2025-10-24T00:00:00"/>
    <x v="4"/>
    <n v="9"/>
    <n v="44"/>
    <n v="7.9978862239830235"/>
    <n v="6.1587610034538516"/>
    <n v="270.98548415196944"/>
    <n v="351.90699385525306"/>
    <n v="-80.921509703283618"/>
    <n v="-5.7947238957912903"/>
    <n v="-86.716233599074911"/>
    <n v="0"/>
    <n v="0"/>
    <n v="0"/>
    <n v="-86.716233599074911"/>
  </r>
  <r>
    <x v="9"/>
    <d v="2025-11-05T00:00:00"/>
    <d v="2025-11-24T00:00:00"/>
    <x v="4"/>
    <n v="9"/>
    <n v="34"/>
    <n v="7.9978862239830235"/>
    <n v="6.1587610034538516"/>
    <n v="209.39787411743094"/>
    <n v="271.92813161542279"/>
    <n v="-62.53025749799184"/>
    <n v="-4.4777411922023607"/>
    <n v="-67.007998690194199"/>
    <n v="0"/>
    <n v="0"/>
    <n v="0"/>
    <n v="-67.007998690194199"/>
  </r>
  <r>
    <x v="10"/>
    <d v="2025-12-03T00:00:00"/>
    <d v="2025-12-24T00:00:00"/>
    <x v="4"/>
    <n v="9"/>
    <n v="35"/>
    <n v="7.9978862239830235"/>
    <n v="6.1587610034538516"/>
    <n v="215.55663512088481"/>
    <n v="279.9260178394058"/>
    <n v="-64.369382718520995"/>
    <n v="-4.6094394625612534"/>
    <n v="-68.978822181082251"/>
    <n v="0"/>
    <n v="0"/>
    <n v="0"/>
    <n v="-68.978822181082251"/>
  </r>
  <r>
    <x v="11"/>
    <d v="2026-01-06T00:00:00"/>
    <d v="2026-01-26T00:00:00"/>
    <x v="4"/>
    <n v="9"/>
    <n v="39"/>
    <n v="7.9978862239830235"/>
    <n v="6.1587610034538516"/>
    <n v="240.19167913470022"/>
    <n v="311.91756273533792"/>
    <n v="-71.725883600637701"/>
    <n v="-5.1362325439968259"/>
    <n v="-76.862116144634527"/>
    <n v="0"/>
    <n v="0"/>
    <n v="0"/>
    <n v="-76.862116144634527"/>
  </r>
  <r>
    <x v="0"/>
    <d v="2025-02-05T00:00:00"/>
    <d v="2025-02-24T00:00:00"/>
    <x v="5"/>
    <n v="9"/>
    <n v="67"/>
    <n v="7.9978862239830235"/>
    <n v="6.1587610034538516"/>
    <n v="412.63698723140806"/>
    <n v="535.85837700686261"/>
    <n v="-123.22138977545455"/>
    <n v="-8.8237841140458286"/>
    <n v="-132.04517388950038"/>
    <n v="0"/>
    <n v="0"/>
    <n v="0"/>
    <n v="-132.04517388950038"/>
  </r>
  <r>
    <x v="1"/>
    <d v="2025-03-05T00:00:00"/>
    <d v="2025-03-24T00:00:00"/>
    <x v="5"/>
    <n v="9"/>
    <n v="71"/>
    <n v="7.9978862239830235"/>
    <n v="6.1587610034538516"/>
    <n v="437.27203124522345"/>
    <n v="567.84992190279468"/>
    <n v="-130.57789065757123"/>
    <n v="-9.3505771954814012"/>
    <n v="-139.92846785305264"/>
    <n v="0"/>
    <n v="0"/>
    <n v="0"/>
    <n v="-139.92846785305264"/>
  </r>
  <r>
    <x v="2"/>
    <d v="2025-04-03T00:00:00"/>
    <d v="2025-04-24T00:00:00"/>
    <x v="5"/>
    <n v="9"/>
    <n v="49"/>
    <n v="7.9978862239830235"/>
    <n v="6.1587610034538516"/>
    <n v="301.77928916923872"/>
    <n v="391.89642497516815"/>
    <n v="-90.117135805929422"/>
    <n v="-6.4532152475857547"/>
    <n v="-96.570351053515182"/>
    <n v="0"/>
    <n v="0"/>
    <n v="0"/>
    <n v="-96.570351053515182"/>
  </r>
  <r>
    <x v="3"/>
    <d v="2025-05-05T00:00:00"/>
    <d v="2025-05-26T00:00:00"/>
    <x v="5"/>
    <n v="9"/>
    <n v="37"/>
    <n v="7.9978862239830235"/>
    <n v="6.1587610034538516"/>
    <n v="227.8741571277925"/>
    <n v="295.92179028737189"/>
    <n v="-68.047633159579391"/>
    <n v="-4.8728360032790397"/>
    <n v="-72.920469162858424"/>
    <n v="0"/>
    <n v="0"/>
    <n v="0"/>
    <n v="-72.920469162858424"/>
  </r>
  <r>
    <x v="4"/>
    <d v="2025-06-04T00:00:00"/>
    <d v="2025-06-24T00:00:00"/>
    <x v="5"/>
    <n v="9"/>
    <n v="50"/>
    <n v="7.9978862239830235"/>
    <n v="6.1587610034538516"/>
    <n v="307.93805017269256"/>
    <n v="399.89431119915116"/>
    <n v="-91.956261026458606"/>
    <n v="-6.5849135179446483"/>
    <n v="-98.541174544403248"/>
    <n v="0"/>
    <n v="0"/>
    <n v="0"/>
    <n v="-98.541174544403248"/>
  </r>
  <r>
    <x v="5"/>
    <d v="2025-07-03T00:00:00"/>
    <d v="2025-07-24T00:00:00"/>
    <x v="5"/>
    <n v="9"/>
    <n v="54"/>
    <n v="7.9978862239830235"/>
    <n v="6.1587610034538516"/>
    <n v="332.573094186508"/>
    <n v="431.88585609508328"/>
    <n v="-99.312761908575283"/>
    <n v="-7.11170659938022"/>
    <n v="-106.42446850795551"/>
    <n v="0"/>
    <n v="0"/>
    <n v="0"/>
    <n v="-106.42446850795551"/>
  </r>
  <r>
    <x v="6"/>
    <d v="2025-08-05T00:00:00"/>
    <d v="2025-08-25T00:00:00"/>
    <x v="5"/>
    <n v="9"/>
    <n v="62"/>
    <n v="7.9978862239830235"/>
    <n v="6.1587610034538516"/>
    <n v="381.84318221413878"/>
    <n v="495.86894588694747"/>
    <n v="-114.02576367280869"/>
    <n v="-8.1652927622513634"/>
    <n v="-122.19105643506006"/>
    <n v="0"/>
    <n v="0"/>
    <n v="0"/>
    <n v="-122.19105643506006"/>
  </r>
  <r>
    <x v="7"/>
    <d v="2025-09-04T00:00:00"/>
    <d v="2025-09-24T00:00:00"/>
    <x v="5"/>
    <n v="9"/>
    <n v="55"/>
    <n v="7.9978862239830235"/>
    <n v="6.1587610034538516"/>
    <n v="338.73185518996183"/>
    <n v="439.8837423190663"/>
    <n v="-101.15188712910447"/>
    <n v="-7.2434048697391136"/>
    <n v="-108.39529199884358"/>
    <n v="0"/>
    <n v="0"/>
    <n v="0"/>
    <n v="-108.39529199884358"/>
  </r>
  <r>
    <x v="8"/>
    <d v="2025-10-03T00:00:00"/>
    <d v="2025-10-24T00:00:00"/>
    <x v="5"/>
    <n v="9"/>
    <n v="50"/>
    <n v="7.9978862239830235"/>
    <n v="6.1587610034538516"/>
    <n v="307.93805017269256"/>
    <n v="399.89431119915116"/>
    <n v="-91.956261026458606"/>
    <n v="-6.5849135179446483"/>
    <n v="-98.541174544403248"/>
    <n v="0"/>
    <n v="0"/>
    <n v="0"/>
    <n v="-98.541174544403248"/>
  </r>
  <r>
    <x v="9"/>
    <d v="2025-11-05T00:00:00"/>
    <d v="2025-11-24T00:00:00"/>
    <x v="5"/>
    <n v="9"/>
    <n v="47"/>
    <n v="7.9978862239830235"/>
    <n v="6.1587610034538516"/>
    <n v="289.461767162331"/>
    <n v="375.90065252720211"/>
    <n v="-86.438885364871112"/>
    <n v="-6.1898187068679693"/>
    <n v="-92.628704071739079"/>
    <n v="0"/>
    <n v="0"/>
    <n v="0"/>
    <n v="-92.628704071739079"/>
  </r>
  <r>
    <x v="10"/>
    <d v="2025-12-03T00:00:00"/>
    <d v="2025-12-24T00:00:00"/>
    <x v="5"/>
    <n v="9"/>
    <n v="48"/>
    <n v="7.9978862239830235"/>
    <n v="6.1587610034538516"/>
    <n v="295.62052816578489"/>
    <n v="383.89853875118513"/>
    <n v="-88.278010585400239"/>
    <n v="-6.3215169772268629"/>
    <n v="-94.599527562627102"/>
    <n v="0"/>
    <n v="0"/>
    <n v="0"/>
    <n v="-94.599527562627102"/>
  </r>
  <r>
    <x v="11"/>
    <d v="2026-01-06T00:00:00"/>
    <d v="2026-01-26T00:00:00"/>
    <x v="5"/>
    <n v="9"/>
    <n v="58"/>
    <n v="7.9978862239830235"/>
    <n v="6.1587610034538516"/>
    <n v="357.20813820032339"/>
    <n v="463.87740099101535"/>
    <n v="-106.66926279069196"/>
    <n v="-7.6384996808157917"/>
    <n v="-114.30776247150776"/>
    <n v="0"/>
    <n v="0"/>
    <n v="0"/>
    <n v="-114.30776247150776"/>
  </r>
  <r>
    <x v="0"/>
    <d v="2025-02-05T00:00:00"/>
    <d v="2025-02-24T00:00:00"/>
    <x v="6"/>
    <n v="9"/>
    <n v="89"/>
    <n v="7.9978862239830235"/>
    <n v="6.1587610034538516"/>
    <n v="548.12972930739284"/>
    <n v="711.81187393448909"/>
    <n v="-163.68214462709625"/>
    <n v="-11.721146061941473"/>
    <n v="-175.40329068903773"/>
    <n v="0"/>
    <n v="0"/>
    <n v="0"/>
    <n v="-175.40329068903773"/>
  </r>
  <r>
    <x v="1"/>
    <d v="2025-03-05T00:00:00"/>
    <d v="2025-03-24T00:00:00"/>
    <x v="6"/>
    <n v="9"/>
    <n v="102"/>
    <n v="7.9978862239830235"/>
    <n v="6.1587610034538516"/>
    <n v="628.19362235229289"/>
    <n v="815.78439484626836"/>
    <n v="-187.59077249397546"/>
    <n v="-13.433223576607082"/>
    <n v="-201.02399607058254"/>
    <n v="0"/>
    <n v="0"/>
    <n v="0"/>
    <n v="-201.02399607058254"/>
  </r>
  <r>
    <x v="2"/>
    <d v="2025-04-03T00:00:00"/>
    <d v="2025-04-24T00:00:00"/>
    <x v="6"/>
    <n v="9"/>
    <n v="64"/>
    <n v="7.9978862239830235"/>
    <n v="6.1587610034538516"/>
    <n v="394.1607042210465"/>
    <n v="511.8647183349135"/>
    <n v="-117.704014113867"/>
    <n v="-8.4286893029691488"/>
    <n v="-126.13270341683615"/>
    <n v="0"/>
    <n v="0"/>
    <n v="0"/>
    <n v="-126.13270341683615"/>
  </r>
  <r>
    <x v="3"/>
    <d v="2025-05-05T00:00:00"/>
    <d v="2025-05-26T00:00:00"/>
    <x v="6"/>
    <n v="9"/>
    <n v="71"/>
    <n v="7.9978862239830235"/>
    <n v="6.1587610034538516"/>
    <n v="437.27203124522345"/>
    <n v="567.84992190279468"/>
    <n v="-130.57789065757123"/>
    <n v="-9.3505771954814012"/>
    <n v="-139.92846785305264"/>
    <n v="0"/>
    <n v="0"/>
    <n v="0"/>
    <n v="-139.92846785305264"/>
  </r>
  <r>
    <x v="4"/>
    <d v="2025-06-04T00:00:00"/>
    <d v="2025-06-24T00:00:00"/>
    <x v="6"/>
    <n v="9"/>
    <n v="108"/>
    <n v="7.9978862239830235"/>
    <n v="6.1587610034538516"/>
    <n v="665.146188373016"/>
    <n v="863.77171219016657"/>
    <n v="-198.62552381715057"/>
    <n v="-14.22341319876044"/>
    <n v="-212.84893701591102"/>
    <n v="0"/>
    <n v="0"/>
    <n v="0"/>
    <n v="-212.84893701591102"/>
  </r>
  <r>
    <x v="5"/>
    <d v="2025-07-03T00:00:00"/>
    <d v="2025-07-24T00:00:00"/>
    <x v="6"/>
    <n v="9"/>
    <n v="130"/>
    <n v="7.9978862239830235"/>
    <n v="6.1587610034538516"/>
    <n v="800.63893044900067"/>
    <n v="1039.7252091177932"/>
    <n v="-239.08627866879249"/>
    <n v="-17.120775146656083"/>
    <n v="-256.20705381544855"/>
    <n v="0"/>
    <n v="0"/>
    <n v="0"/>
    <n v="-256.20705381544855"/>
  </r>
  <r>
    <x v="6"/>
    <d v="2025-08-05T00:00:00"/>
    <d v="2025-08-25T00:00:00"/>
    <x v="6"/>
    <n v="9"/>
    <n v="151"/>
    <n v="7.9978862239830235"/>
    <n v="6.1587610034538516"/>
    <n v="929.97291152153161"/>
    <n v="1207.6808198214364"/>
    <n v="-277.70790829990483"/>
    <n v="-19.886438824192837"/>
    <n v="-297.59434712409768"/>
    <n v="0"/>
    <n v="0"/>
    <n v="0"/>
    <n v="-297.59434712409768"/>
  </r>
  <r>
    <x v="7"/>
    <d v="2025-09-04T00:00:00"/>
    <d v="2025-09-24T00:00:00"/>
    <x v="6"/>
    <n v="9"/>
    <n v="145"/>
    <n v="7.9978862239830235"/>
    <n v="6.1587610034538516"/>
    <n v="893.0203455008085"/>
    <n v="1159.6935024775385"/>
    <n v="-266.67315697672996"/>
    <n v="-19.096249202039477"/>
    <n v="-285.76940617876943"/>
    <n v="0"/>
    <n v="0"/>
    <n v="0"/>
    <n v="-285.76940617876943"/>
  </r>
  <r>
    <x v="8"/>
    <d v="2025-10-03T00:00:00"/>
    <d v="2025-10-24T00:00:00"/>
    <x v="6"/>
    <n v="9"/>
    <n v="126"/>
    <n v="7.9978862239830235"/>
    <n v="6.1587610034538516"/>
    <n v="776.00388643518534"/>
    <n v="1007.733664221861"/>
    <n v="-231.72977778667564"/>
    <n v="-16.593982065220516"/>
    <n v="-248.32375985189617"/>
    <n v="0"/>
    <n v="0"/>
    <n v="0"/>
    <n v="-248.32375985189617"/>
  </r>
  <r>
    <x v="9"/>
    <d v="2025-11-05T00:00:00"/>
    <d v="2025-11-24T00:00:00"/>
    <x v="6"/>
    <n v="9"/>
    <n v="106"/>
    <n v="7.9978862239830235"/>
    <n v="6.1587610034538516"/>
    <n v="652.82866636610822"/>
    <n v="847.77593974220053"/>
    <n v="-194.94727337609231"/>
    <n v="-13.960016658042655"/>
    <n v="-208.90729003413497"/>
    <n v="0"/>
    <n v="0"/>
    <n v="0"/>
    <n v="-208.90729003413497"/>
  </r>
  <r>
    <x v="10"/>
    <d v="2025-12-03T00:00:00"/>
    <d v="2025-12-24T00:00:00"/>
    <x v="6"/>
    <n v="9"/>
    <n v="67"/>
    <n v="7.9978862239830235"/>
    <n v="6.1587610034538516"/>
    <n v="412.63698723140806"/>
    <n v="535.85837700686261"/>
    <n v="-123.22138977545455"/>
    <n v="-8.8237841140458286"/>
    <n v="-132.04517388950038"/>
    <n v="0"/>
    <n v="0"/>
    <n v="0"/>
    <n v="-132.04517388950038"/>
  </r>
  <r>
    <x v="11"/>
    <d v="2026-01-06T00:00:00"/>
    <d v="2026-01-26T00:00:00"/>
    <x v="6"/>
    <n v="9"/>
    <n v="82"/>
    <n v="7.9978862239830235"/>
    <n v="6.1587610034538516"/>
    <n v="505.01840228321583"/>
    <n v="655.82667036660791"/>
    <n v="-150.80826808339208"/>
    <n v="-10.799258169429223"/>
    <n v="-161.60752625282129"/>
    <n v="0"/>
    <n v="0"/>
    <n v="0"/>
    <n v="-161.60752625282129"/>
  </r>
  <r>
    <x v="0"/>
    <d v="2025-02-05T00:00:00"/>
    <d v="2025-02-24T00:00:00"/>
    <x v="7"/>
    <n v="9"/>
    <n v="70"/>
    <n v="7.9978862239830235"/>
    <n v="6.1587610034538516"/>
    <n v="431.11327024176961"/>
    <n v="559.8520356788116"/>
    <n v="-128.73876543704199"/>
    <n v="-9.2188789251225067"/>
    <n v="-137.9576443621645"/>
    <n v="0"/>
    <n v="0"/>
    <n v="0"/>
    <n v="-137.9576443621645"/>
  </r>
  <r>
    <x v="1"/>
    <d v="2025-03-05T00:00:00"/>
    <d v="2025-03-24T00:00:00"/>
    <x v="7"/>
    <n v="9"/>
    <n v="50"/>
    <n v="7.9978862239830235"/>
    <n v="6.1587610034538516"/>
    <n v="307.93805017269256"/>
    <n v="399.89431119915116"/>
    <n v="-91.956261026458606"/>
    <n v="-6.5849135179446483"/>
    <n v="-98.541174544403248"/>
    <n v="0"/>
    <n v="0"/>
    <n v="0"/>
    <n v="-98.541174544403248"/>
  </r>
  <r>
    <x v="2"/>
    <d v="2025-04-03T00:00:00"/>
    <d v="2025-04-24T00:00:00"/>
    <x v="7"/>
    <n v="9"/>
    <n v="67"/>
    <n v="7.9978862239830235"/>
    <n v="6.1587610034538516"/>
    <n v="412.63698723140806"/>
    <n v="535.85837700686261"/>
    <n v="-123.22138977545455"/>
    <n v="-8.8237841140458286"/>
    <n v="-132.04517388950038"/>
    <n v="0"/>
    <n v="0"/>
    <n v="0"/>
    <n v="-132.04517388950038"/>
  </r>
  <r>
    <x v="3"/>
    <d v="2025-05-05T00:00:00"/>
    <d v="2025-05-26T00:00:00"/>
    <x v="7"/>
    <n v="9"/>
    <n v="71"/>
    <n v="7.9978862239830235"/>
    <n v="6.1587610034538516"/>
    <n v="437.27203124522345"/>
    <n v="567.84992190279468"/>
    <n v="-130.57789065757123"/>
    <n v="-9.3505771954814012"/>
    <n v="-139.92846785305264"/>
    <n v="0"/>
    <n v="0"/>
    <n v="0"/>
    <n v="-139.92846785305264"/>
  </r>
  <r>
    <x v="4"/>
    <d v="2025-06-04T00:00:00"/>
    <d v="2025-06-24T00:00:00"/>
    <x v="7"/>
    <n v="9"/>
    <n v="64"/>
    <n v="7.9978862239830235"/>
    <n v="6.1587610034538516"/>
    <n v="394.1607042210465"/>
    <n v="511.8647183349135"/>
    <n v="-117.704014113867"/>
    <n v="-8.4286893029691488"/>
    <n v="-126.13270341683615"/>
    <n v="0"/>
    <n v="0"/>
    <n v="0"/>
    <n v="-126.13270341683615"/>
  </r>
  <r>
    <x v="5"/>
    <d v="2025-07-03T00:00:00"/>
    <d v="2025-07-24T00:00:00"/>
    <x v="7"/>
    <n v="9"/>
    <n v="72"/>
    <n v="7.9978862239830235"/>
    <n v="6.1587610034538516"/>
    <n v="443.43079224867734"/>
    <n v="575.84780812677764"/>
    <n v="-132.4170158781003"/>
    <n v="-9.4822754658402921"/>
    <n v="-141.8992913439406"/>
    <n v="0"/>
    <n v="0"/>
    <n v="0"/>
    <n v="-141.8992913439406"/>
  </r>
  <r>
    <x v="6"/>
    <d v="2025-08-05T00:00:00"/>
    <d v="2025-08-25T00:00:00"/>
    <x v="7"/>
    <n v="9"/>
    <n v="11"/>
    <n v="7.9978862239830235"/>
    <n v="6.1587610034538516"/>
    <n v="67.746371037992361"/>
    <n v="87.976748463813266"/>
    <n v="-20.230377425820905"/>
    <n v="-1.4486809739478226"/>
    <n v="-21.679058399768728"/>
    <n v="0"/>
    <n v="0"/>
    <n v="0"/>
    <n v="-21.679058399768728"/>
  </r>
  <r>
    <x v="7"/>
    <d v="2025-09-04T00:00:00"/>
    <d v="2025-09-24T00:00:00"/>
    <x v="7"/>
    <n v="9"/>
    <n v="62"/>
    <n v="7.9978862239830235"/>
    <n v="6.1587610034538516"/>
    <n v="381.84318221413878"/>
    <n v="495.86894588694747"/>
    <n v="-114.02576367280869"/>
    <n v="-8.1652927622513634"/>
    <n v="-122.19105643506006"/>
    <n v="0"/>
    <n v="0"/>
    <n v="0"/>
    <n v="-122.19105643506006"/>
  </r>
  <r>
    <x v="8"/>
    <d v="2025-10-03T00:00:00"/>
    <d v="2025-10-24T00:00:00"/>
    <x v="7"/>
    <n v="9"/>
    <n v="72"/>
    <n v="7.9978862239830235"/>
    <n v="6.1587610034538516"/>
    <n v="443.43079224867734"/>
    <n v="575.84780812677764"/>
    <n v="-132.4170158781003"/>
    <n v="-9.4822754658402921"/>
    <n v="-141.8992913439406"/>
    <n v="0"/>
    <n v="0"/>
    <n v="0"/>
    <n v="-141.8992913439406"/>
  </r>
  <r>
    <x v="9"/>
    <d v="2025-11-05T00:00:00"/>
    <d v="2025-11-24T00:00:00"/>
    <x v="7"/>
    <n v="9"/>
    <n v="72"/>
    <n v="7.9978862239830235"/>
    <n v="6.1587610034538516"/>
    <n v="443.43079224867734"/>
    <n v="575.84780812677764"/>
    <n v="-132.4170158781003"/>
    <n v="-9.4822754658402921"/>
    <n v="-141.8992913439406"/>
    <n v="0"/>
    <n v="0"/>
    <n v="0"/>
    <n v="-141.8992913439406"/>
  </r>
  <r>
    <x v="10"/>
    <d v="2025-12-03T00:00:00"/>
    <d v="2025-12-24T00:00:00"/>
    <x v="7"/>
    <n v="9"/>
    <n v="67"/>
    <n v="7.9978862239830235"/>
    <n v="6.1587610034538516"/>
    <n v="412.63698723140806"/>
    <n v="535.85837700686261"/>
    <n v="-123.22138977545455"/>
    <n v="-8.8237841140458286"/>
    <n v="-132.04517388950038"/>
    <n v="0"/>
    <n v="0"/>
    <n v="0"/>
    <n v="-132.04517388950038"/>
  </r>
  <r>
    <x v="11"/>
    <d v="2026-01-06T00:00:00"/>
    <d v="2026-01-26T00:00:00"/>
    <x v="7"/>
    <n v="9"/>
    <n v="68"/>
    <n v="7.9978862239830235"/>
    <n v="6.1587610034538516"/>
    <n v="418.79574823486189"/>
    <n v="543.85626323084557"/>
    <n v="-125.06051499598368"/>
    <n v="-8.9554823844047213"/>
    <n v="-134.0159973803884"/>
    <n v="0"/>
    <n v="0"/>
    <n v="0"/>
    <n v="-134.0159973803884"/>
  </r>
  <r>
    <x v="0"/>
    <d v="2025-02-05T00:00:00"/>
    <d v="2025-02-24T00:00:00"/>
    <x v="8"/>
    <n v="9"/>
    <n v="1315"/>
    <n v="7.9978862239830235"/>
    <n v="6.1587610034538516"/>
    <n v="8098.7707195418152"/>
    <n v="10517.220384537675"/>
    <n v="-2418.4496649958601"/>
    <n v="-173.18322552194425"/>
    <n v="-2591.6328905178043"/>
    <n v="0"/>
    <n v="0"/>
    <n v="0"/>
    <n v="-2591.6328905178043"/>
  </r>
  <r>
    <x v="1"/>
    <d v="2025-03-05T00:00:00"/>
    <d v="2025-03-24T00:00:00"/>
    <x v="8"/>
    <n v="9"/>
    <n v="1377"/>
    <n v="7.9978862239830235"/>
    <n v="6.1587610034538516"/>
    <n v="8480.6139017559544"/>
    <n v="11013.089330424624"/>
    <n v="-2532.4754286686693"/>
    <n v="-181.34851828419559"/>
    <n v="-2713.8239469528648"/>
    <n v="0"/>
    <n v="0"/>
    <n v="0"/>
    <n v="-2713.8239469528648"/>
  </r>
  <r>
    <x v="2"/>
    <d v="2025-04-03T00:00:00"/>
    <d v="2025-04-24T00:00:00"/>
    <x v="8"/>
    <n v="9"/>
    <n v="791"/>
    <n v="7.9978862239830235"/>
    <n v="6.1587610034538516"/>
    <n v="4871.5799537319963"/>
    <n v="6326.3280031705717"/>
    <n v="-1454.7480494385754"/>
    <n v="-104.17333185388433"/>
    <n v="-1558.9213812924597"/>
    <n v="0"/>
    <n v="0"/>
    <n v="0"/>
    <n v="-1558.9213812924597"/>
  </r>
  <r>
    <x v="3"/>
    <d v="2025-05-05T00:00:00"/>
    <d v="2025-05-26T00:00:00"/>
    <x v="8"/>
    <n v="9"/>
    <n v="603"/>
    <n v="7.9978862239830235"/>
    <n v="6.1587610034538516"/>
    <n v="3713.7328850826725"/>
    <n v="4822.7253930617635"/>
    <n v="-1108.992507979091"/>
    <n v="-79.414057026412451"/>
    <n v="-1188.4065650055034"/>
    <n v="0"/>
    <n v="0"/>
    <n v="0"/>
    <n v="-1188.4065650055034"/>
  </r>
  <r>
    <x v="4"/>
    <d v="2025-06-04T00:00:00"/>
    <d v="2025-06-24T00:00:00"/>
    <x v="8"/>
    <n v="9"/>
    <n v="738"/>
    <n v="7.9978862239830235"/>
    <n v="6.1587610034538516"/>
    <n v="4545.1656205489426"/>
    <n v="5902.440033299471"/>
    <n v="-1357.2744127505284"/>
    <n v="-97.193323524863004"/>
    <n v="-1454.4677362753914"/>
    <n v="0"/>
    <n v="0"/>
    <n v="0"/>
    <n v="-1454.4677362753914"/>
  </r>
  <r>
    <x v="5"/>
    <d v="2025-07-03T00:00:00"/>
    <d v="2025-07-24T00:00:00"/>
    <x v="8"/>
    <n v="9"/>
    <n v="849"/>
    <n v="7.9978862239830235"/>
    <n v="6.1587610034538516"/>
    <n v="5228.7880919323197"/>
    <n v="6790.2054041615866"/>
    <n v="-1561.4173122292668"/>
    <n v="-111.81183153470012"/>
    <n v="-1673.2291437639669"/>
    <n v="0"/>
    <n v="0"/>
    <n v="0"/>
    <n v="-1673.2291437639669"/>
  </r>
  <r>
    <x v="6"/>
    <d v="2025-08-05T00:00:00"/>
    <d v="2025-08-25T00:00:00"/>
    <x v="8"/>
    <n v="9"/>
    <n v="978"/>
    <n v="7.9978862239830235"/>
    <n v="6.1587610034538516"/>
    <n v="6023.268261377867"/>
    <n v="7821.9327270553968"/>
    <n v="-1798.6644656775297"/>
    <n v="-128.80090841099732"/>
    <n v="-1927.4653740885271"/>
    <n v="0"/>
    <n v="0"/>
    <n v="0"/>
    <n v="-1927.4653740885271"/>
  </r>
  <r>
    <x v="7"/>
    <d v="2025-09-04T00:00:00"/>
    <d v="2025-09-24T00:00:00"/>
    <x v="8"/>
    <n v="9"/>
    <n v="1000"/>
    <n v="7.9978862239830235"/>
    <n v="6.1587610034538516"/>
    <n v="6158.761003453852"/>
    <n v="7997.8862239830232"/>
    <n v="-1839.1252205291712"/>
    <n v="-131.69827035889296"/>
    <n v="-1970.823490888064"/>
    <n v="0"/>
    <n v="0"/>
    <n v="0"/>
    <n v="-1970.823490888064"/>
  </r>
  <r>
    <x v="8"/>
    <d v="2025-10-03T00:00:00"/>
    <d v="2025-10-24T00:00:00"/>
    <x v="8"/>
    <n v="9"/>
    <n v="844"/>
    <n v="7.9978862239830235"/>
    <n v="6.1587610034538516"/>
    <n v="5197.9942869150509"/>
    <n v="6750.2159730416715"/>
    <n v="-1552.2216861266206"/>
    <n v="-111.15334018290567"/>
    <n v="-1663.3750263095262"/>
    <n v="0"/>
    <n v="0"/>
    <n v="0"/>
    <n v="-1663.3750263095262"/>
  </r>
  <r>
    <x v="9"/>
    <d v="2025-11-05T00:00:00"/>
    <d v="2025-11-24T00:00:00"/>
    <x v="8"/>
    <n v="9"/>
    <n v="760"/>
    <n v="7.9978862239830235"/>
    <n v="6.1587610034538516"/>
    <n v="4680.6583626249276"/>
    <n v="6078.3935302270975"/>
    <n v="-1397.7351676021699"/>
    <n v="-100.09068547275865"/>
    <n v="-1497.8258530749285"/>
    <n v="0"/>
    <n v="0"/>
    <n v="0"/>
    <n v="-1497.8258530749285"/>
  </r>
  <r>
    <x v="10"/>
    <d v="2025-12-03T00:00:00"/>
    <d v="2025-12-24T00:00:00"/>
    <x v="8"/>
    <n v="9"/>
    <n v="748"/>
    <n v="7.9978862239830235"/>
    <n v="6.1587610034538516"/>
    <n v="4606.7532305834811"/>
    <n v="5982.418895539302"/>
    <n v="-1375.6656649558208"/>
    <n v="-98.510306228451938"/>
    <n v="-1474.1759711842728"/>
    <n v="0"/>
    <n v="0"/>
    <n v="0"/>
    <n v="-1474.1759711842728"/>
  </r>
  <r>
    <x v="11"/>
    <d v="2026-01-06T00:00:00"/>
    <d v="2026-01-26T00:00:00"/>
    <x v="8"/>
    <n v="9"/>
    <n v="1070"/>
    <n v="7.9978862239830235"/>
    <n v="6.1587610034538516"/>
    <n v="6589.874273695621"/>
    <n v="8557.7382596618354"/>
    <n v="-1967.8639859662144"/>
    <n v="-140.91714928401547"/>
    <n v="-2108.7811352502299"/>
    <n v="0"/>
    <n v="0"/>
    <n v="0"/>
    <n v="-2108.7811352502299"/>
  </r>
  <r>
    <x v="0"/>
    <d v="2025-02-05T00:00:00"/>
    <d v="2025-02-24T00:00:00"/>
    <x v="9"/>
    <n v="9"/>
    <n v="7"/>
    <n v="7.9978862239830235"/>
    <n v="6.1587610034538516"/>
    <n v="43.111327024176958"/>
    <n v="55.985203567881165"/>
    <n v="-12.873876543704206"/>
    <n v="-0.92188789251225067"/>
    <n v="-13.795764436216457"/>
    <n v="0"/>
    <n v="0"/>
    <n v="0"/>
    <n v="-13.795764436216457"/>
  </r>
  <r>
    <x v="1"/>
    <d v="2025-03-05T00:00:00"/>
    <d v="2025-03-24T00:00:00"/>
    <x v="9"/>
    <n v="9"/>
    <n v="8"/>
    <n v="7.9978862239830235"/>
    <n v="6.1587610034538516"/>
    <n v="49.270088027630813"/>
    <n v="63.983089791864188"/>
    <n v="-14.713001764233375"/>
    <n v="-1.0535861628711436"/>
    <n v="-15.766587927104519"/>
    <n v="0"/>
    <n v="0"/>
    <n v="0"/>
    <n v="-15.766587927104519"/>
  </r>
  <r>
    <x v="2"/>
    <d v="2025-04-03T00:00:00"/>
    <d v="2025-04-24T00:00:00"/>
    <x v="9"/>
    <n v="9"/>
    <n v="7"/>
    <n v="7.9978862239830235"/>
    <n v="6.1587610034538516"/>
    <n v="43.111327024176958"/>
    <n v="55.985203567881165"/>
    <n v="-12.873876543704206"/>
    <n v="-0.92188789251225067"/>
    <n v="-13.795764436216457"/>
    <n v="0"/>
    <n v="0"/>
    <n v="0"/>
    <n v="-13.795764436216457"/>
  </r>
  <r>
    <x v="3"/>
    <d v="2025-05-05T00:00:00"/>
    <d v="2025-05-26T00:00:00"/>
    <x v="9"/>
    <n v="9"/>
    <n v="3"/>
    <n v="7.9978862239830235"/>
    <n v="6.1587610034538516"/>
    <n v="18.476283010361556"/>
    <n v="23.993658671949071"/>
    <n v="-5.5173756615875149"/>
    <n v="-0.39509481107667893"/>
    <n v="-5.9124704726641939"/>
    <n v="0"/>
    <n v="0"/>
    <n v="0"/>
    <n v="-5.9124704726641939"/>
  </r>
  <r>
    <x v="4"/>
    <d v="2025-06-04T00:00:00"/>
    <d v="2025-06-24T00:00:00"/>
    <x v="9"/>
    <n v="9"/>
    <n v="5"/>
    <n v="7.9978862239830235"/>
    <n v="6.1587610034538516"/>
    <n v="30.793805017269257"/>
    <n v="39.989431119915118"/>
    <n v="-9.1956261026458606"/>
    <n v="-0.65849135179446472"/>
    <n v="-9.8541174544403258"/>
    <n v="0"/>
    <n v="0"/>
    <n v="0"/>
    <n v="-9.8541174544403258"/>
  </r>
  <r>
    <x v="5"/>
    <d v="2025-07-03T00:00:00"/>
    <d v="2025-07-24T00:00:00"/>
    <x v="9"/>
    <n v="9"/>
    <n v="10"/>
    <n v="7.9978862239830235"/>
    <n v="6.1587610034538516"/>
    <n v="61.587610034538514"/>
    <n v="79.978862239830235"/>
    <n v="-18.391252205291721"/>
    <n v="-1.3169827035889294"/>
    <n v="-19.708234908880652"/>
    <n v="0"/>
    <n v="0"/>
    <n v="0"/>
    <n v="-19.708234908880652"/>
  </r>
  <r>
    <x v="6"/>
    <d v="2025-08-05T00:00:00"/>
    <d v="2025-08-25T00:00:00"/>
    <x v="9"/>
    <n v="9"/>
    <n v="17"/>
    <n v="7.9978862239830235"/>
    <n v="6.1587610034538516"/>
    <n v="104.69893705871547"/>
    <n v="135.96406580771139"/>
    <n v="-31.26512874899592"/>
    <n v="-2.2388705961011803"/>
    <n v="-33.5039993450971"/>
    <n v="0"/>
    <n v="0"/>
    <n v="0"/>
    <n v="-33.5039993450971"/>
  </r>
  <r>
    <x v="7"/>
    <d v="2025-09-04T00:00:00"/>
    <d v="2025-09-24T00:00:00"/>
    <x v="9"/>
    <n v="9"/>
    <n v="16"/>
    <n v="7.9978862239830235"/>
    <n v="6.1587610034538516"/>
    <n v="98.540176055261625"/>
    <n v="127.96617958372838"/>
    <n v="-29.426003528466751"/>
    <n v="-2.1071723257422872"/>
    <n v="-31.533175854209038"/>
    <n v="0"/>
    <n v="0"/>
    <n v="0"/>
    <n v="-31.533175854209038"/>
  </r>
  <r>
    <x v="8"/>
    <d v="2025-10-03T00:00:00"/>
    <d v="2025-10-24T00:00:00"/>
    <x v="9"/>
    <n v="9"/>
    <n v="8"/>
    <n v="7.9978862239830235"/>
    <n v="6.1587610034538516"/>
    <n v="49.270088027630813"/>
    <n v="63.983089791864188"/>
    <n v="-14.713001764233375"/>
    <n v="-1.0535861628711436"/>
    <n v="-15.766587927104519"/>
    <n v="0"/>
    <n v="0"/>
    <n v="0"/>
    <n v="-15.766587927104519"/>
  </r>
  <r>
    <x v="9"/>
    <d v="2025-11-05T00:00:00"/>
    <d v="2025-11-24T00:00:00"/>
    <x v="9"/>
    <n v="9"/>
    <n v="8"/>
    <n v="7.9978862239830235"/>
    <n v="6.1587610034538516"/>
    <n v="49.270088027630813"/>
    <n v="63.983089791864188"/>
    <n v="-14.713001764233375"/>
    <n v="-1.0535861628711436"/>
    <n v="-15.766587927104519"/>
    <n v="0"/>
    <n v="0"/>
    <n v="0"/>
    <n v="-15.766587927104519"/>
  </r>
  <r>
    <x v="10"/>
    <d v="2025-12-03T00:00:00"/>
    <d v="2025-12-24T00:00:00"/>
    <x v="9"/>
    <n v="9"/>
    <n v="6"/>
    <n v="7.9978862239830235"/>
    <n v="6.1587610034538516"/>
    <n v="36.952566020723111"/>
    <n v="47.987317343898141"/>
    <n v="-11.03475132317503"/>
    <n v="-0.79018962215335786"/>
    <n v="-11.824940945328388"/>
    <n v="0"/>
    <n v="0"/>
    <n v="0"/>
    <n v="-11.824940945328388"/>
  </r>
  <r>
    <x v="11"/>
    <d v="2026-01-06T00:00:00"/>
    <d v="2026-01-26T00:00:00"/>
    <x v="9"/>
    <n v="9"/>
    <n v="7"/>
    <n v="7.9978862239830235"/>
    <n v="6.1587610034538516"/>
    <n v="43.111327024176958"/>
    <n v="55.985203567881165"/>
    <n v="-12.873876543704206"/>
    <n v="-0.92188789251225067"/>
    <n v="-13.795764436216457"/>
    <n v="0"/>
    <n v="0"/>
    <n v="0"/>
    <n v="-13.795764436216457"/>
  </r>
  <r>
    <x v="0"/>
    <d v="2025-02-05T00:00:00"/>
    <d v="2025-02-24T00:00:00"/>
    <x v="10"/>
    <n v="9"/>
    <n v="2"/>
    <n v="7.9978862239830235"/>
    <n v="6.1587610034538516"/>
    <n v="12.317522006907703"/>
    <n v="15.995772447966047"/>
    <n v="-3.6782504410583439"/>
    <n v="-0.2633965407177859"/>
    <n v="-3.9416469817761297"/>
    <n v="0"/>
    <n v="0"/>
    <n v="0"/>
    <n v="-3.9416469817761297"/>
  </r>
  <r>
    <x v="1"/>
    <d v="2025-03-05T00:00:00"/>
    <d v="2025-03-24T00:00:00"/>
    <x v="10"/>
    <n v="9"/>
    <n v="3"/>
    <n v="7.9978862239830235"/>
    <n v="6.1587610034538516"/>
    <n v="18.476283010361556"/>
    <n v="23.993658671949071"/>
    <n v="-5.5173756615875149"/>
    <n v="-0.39509481107667893"/>
    <n v="-5.9124704726641939"/>
    <n v="0"/>
    <n v="0"/>
    <n v="0"/>
    <n v="-5.9124704726641939"/>
  </r>
  <r>
    <x v="2"/>
    <d v="2025-04-03T00:00:00"/>
    <d v="2025-04-24T00:00:00"/>
    <x v="10"/>
    <n v="9"/>
    <n v="2"/>
    <n v="7.9978862239830235"/>
    <n v="6.1587610034538516"/>
    <n v="12.317522006907703"/>
    <n v="15.995772447966047"/>
    <n v="-3.6782504410583439"/>
    <n v="-0.2633965407177859"/>
    <n v="-3.9416469817761297"/>
    <n v="0"/>
    <n v="0"/>
    <n v="0"/>
    <n v="-3.9416469817761297"/>
  </r>
  <r>
    <x v="3"/>
    <d v="2025-05-05T00:00:00"/>
    <d v="2025-05-26T00:00:00"/>
    <x v="10"/>
    <n v="9"/>
    <n v="1"/>
    <n v="7.9978862239830235"/>
    <n v="6.1587610034538516"/>
    <n v="6.1587610034538516"/>
    <n v="7.9978862239830235"/>
    <n v="-1.8391252205291719"/>
    <n v="-0.13169827035889295"/>
    <n v="-1.9708234908880649"/>
    <n v="0"/>
    <n v="0"/>
    <n v="0"/>
    <n v="-1.9708234908880649"/>
  </r>
  <r>
    <x v="4"/>
    <d v="2025-06-04T00:00:00"/>
    <d v="2025-06-24T00:00:00"/>
    <x v="10"/>
    <n v="9"/>
    <n v="2"/>
    <n v="7.9978862239830235"/>
    <n v="6.1587610034538516"/>
    <n v="12.317522006907703"/>
    <n v="15.995772447966047"/>
    <n v="-3.6782504410583439"/>
    <n v="-0.2633965407177859"/>
    <n v="-3.9416469817761297"/>
    <n v="0"/>
    <n v="0"/>
    <n v="0"/>
    <n v="-3.9416469817761297"/>
  </r>
  <r>
    <x v="5"/>
    <d v="2025-07-03T00:00:00"/>
    <d v="2025-07-24T00:00:00"/>
    <x v="10"/>
    <n v="9"/>
    <n v="3"/>
    <n v="7.9978862239830235"/>
    <n v="6.1587610034538516"/>
    <n v="18.476283010361556"/>
    <n v="23.993658671949071"/>
    <n v="-5.5173756615875149"/>
    <n v="-0.39509481107667893"/>
    <n v="-5.9124704726641939"/>
    <n v="0"/>
    <n v="0"/>
    <n v="0"/>
    <n v="-5.9124704726641939"/>
  </r>
  <r>
    <x v="6"/>
    <d v="2025-08-05T00:00:00"/>
    <d v="2025-08-25T00:00:00"/>
    <x v="10"/>
    <n v="9"/>
    <n v="7"/>
    <n v="7.9978862239830235"/>
    <n v="6.1587610034538516"/>
    <n v="43.111327024176958"/>
    <n v="55.985203567881165"/>
    <n v="-12.873876543704206"/>
    <n v="-0.92188789251225067"/>
    <n v="-13.795764436216457"/>
    <n v="0"/>
    <n v="0"/>
    <n v="0"/>
    <n v="-13.795764436216457"/>
  </r>
  <r>
    <x v="7"/>
    <d v="2025-09-04T00:00:00"/>
    <d v="2025-09-24T00:00:00"/>
    <x v="10"/>
    <n v="9"/>
    <n v="5"/>
    <n v="7.9978862239830235"/>
    <n v="6.1587610034538516"/>
    <n v="30.793805017269257"/>
    <n v="39.989431119915118"/>
    <n v="-9.1956261026458606"/>
    <n v="-0.65849135179446472"/>
    <n v="-9.8541174544403258"/>
    <n v="0"/>
    <n v="0"/>
    <n v="0"/>
    <n v="-9.8541174544403258"/>
  </r>
  <r>
    <x v="8"/>
    <d v="2025-10-03T00:00:00"/>
    <d v="2025-10-24T00:00:00"/>
    <x v="10"/>
    <n v="9"/>
    <n v="2"/>
    <n v="7.9978862239830235"/>
    <n v="6.1587610034538516"/>
    <n v="12.317522006907703"/>
    <n v="15.995772447966047"/>
    <n v="-3.6782504410583439"/>
    <n v="-0.2633965407177859"/>
    <n v="-3.9416469817761297"/>
    <n v="0"/>
    <n v="0"/>
    <n v="0"/>
    <n v="-3.9416469817761297"/>
  </r>
  <r>
    <x v="9"/>
    <d v="2025-11-05T00:00:00"/>
    <d v="2025-11-24T00:00:00"/>
    <x v="10"/>
    <n v="9"/>
    <n v="3"/>
    <n v="7.9978862239830235"/>
    <n v="6.1587610034538516"/>
    <n v="18.476283010361556"/>
    <n v="23.993658671949071"/>
    <n v="-5.5173756615875149"/>
    <n v="-0.39509481107667893"/>
    <n v="-5.9124704726641939"/>
    <n v="0"/>
    <n v="0"/>
    <n v="0"/>
    <n v="-5.9124704726641939"/>
  </r>
  <r>
    <x v="10"/>
    <d v="2025-12-03T00:00:00"/>
    <d v="2025-12-24T00:00:00"/>
    <x v="10"/>
    <n v="9"/>
    <n v="1"/>
    <n v="7.9978862239830235"/>
    <n v="6.1587610034538516"/>
    <n v="6.1587610034538516"/>
    <n v="7.9978862239830235"/>
    <n v="-1.8391252205291719"/>
    <n v="-0.13169827035889295"/>
    <n v="-1.9708234908880649"/>
    <n v="0"/>
    <n v="0"/>
    <n v="0"/>
    <n v="-1.9708234908880649"/>
  </r>
  <r>
    <x v="11"/>
    <d v="2026-01-06T00:00:00"/>
    <d v="2026-01-26T00:00:00"/>
    <x v="10"/>
    <n v="9"/>
    <n v="2"/>
    <n v="7.9978862239830235"/>
    <n v="6.1587610034538516"/>
    <n v="12.317522006907703"/>
    <n v="15.995772447966047"/>
    <n v="-3.6782504410583439"/>
    <n v="-0.2633965407177859"/>
    <n v="-3.9416469817761297"/>
    <n v="0"/>
    <n v="0"/>
    <n v="0"/>
    <n v="-3.9416469817761297"/>
  </r>
  <r>
    <x v="0"/>
    <d v="2025-02-05T00:00:00"/>
    <d v="2025-02-24T00:00:00"/>
    <x v="11"/>
    <n v="9"/>
    <n v="137"/>
    <n v="7.9978862239830235"/>
    <n v="6.1587610034538516"/>
    <n v="843.75025747317761"/>
    <n v="1095.7104126856743"/>
    <n v="-251.96015521249672"/>
    <n v="-18.042663039168335"/>
    <n v="-270.00281825166508"/>
    <n v="0"/>
    <n v="0"/>
    <n v="0"/>
    <n v="-270.00281825166508"/>
  </r>
  <r>
    <x v="1"/>
    <d v="2025-03-05T00:00:00"/>
    <d v="2025-03-24T00:00:00"/>
    <x v="11"/>
    <n v="9"/>
    <n v="156"/>
    <n v="7.9978862239830235"/>
    <n v="6.1587610034538516"/>
    <n v="960.76671653880089"/>
    <n v="1247.6702509413517"/>
    <n v="-286.9035344025508"/>
    <n v="-20.544930175987304"/>
    <n v="-307.44846457853811"/>
    <n v="0"/>
    <n v="0"/>
    <n v="0"/>
    <n v="-307.44846457853811"/>
  </r>
  <r>
    <x v="2"/>
    <d v="2025-04-03T00:00:00"/>
    <d v="2025-04-24T00:00:00"/>
    <x v="11"/>
    <n v="9"/>
    <n v="113"/>
    <n v="7.9978862239830235"/>
    <n v="6.1587610034538516"/>
    <n v="695.93999339028528"/>
    <n v="903.76114331008171"/>
    <n v="-207.82114991979643"/>
    <n v="-14.881904550554903"/>
    <n v="-222.70305447035133"/>
    <n v="0"/>
    <n v="0"/>
    <n v="0"/>
    <n v="-222.70305447035133"/>
  </r>
  <r>
    <x v="3"/>
    <d v="2025-05-05T00:00:00"/>
    <d v="2025-05-26T00:00:00"/>
    <x v="11"/>
    <n v="9"/>
    <n v="112"/>
    <n v="7.9978862239830235"/>
    <n v="6.1587610034538516"/>
    <n v="689.78123238683133"/>
    <n v="895.76325708609863"/>
    <n v="-205.9820246992673"/>
    <n v="-14.750206280196011"/>
    <n v="-220.73223097946331"/>
    <n v="0"/>
    <n v="0"/>
    <n v="0"/>
    <n v="-220.73223097946331"/>
  </r>
  <r>
    <x v="4"/>
    <d v="2025-06-04T00:00:00"/>
    <d v="2025-06-24T00:00:00"/>
    <x v="11"/>
    <n v="9"/>
    <n v="142"/>
    <n v="7.9978862239830235"/>
    <n v="6.1587610034538516"/>
    <n v="874.54406249044689"/>
    <n v="1135.6998438055894"/>
    <n v="-261.15578131514246"/>
    <n v="-18.701154390962802"/>
    <n v="-279.85693570610528"/>
    <n v="0"/>
    <n v="0"/>
    <n v="0"/>
    <n v="-279.85693570610528"/>
  </r>
  <r>
    <x v="5"/>
    <d v="2025-07-03T00:00:00"/>
    <d v="2025-07-24T00:00:00"/>
    <x v="11"/>
    <n v="9"/>
    <n v="165"/>
    <n v="7.9978862239830235"/>
    <n v="6.1587610034538516"/>
    <n v="1016.1955655698855"/>
    <n v="1319.6512269571988"/>
    <n v="-303.45566138731328"/>
    <n v="-21.730214609217338"/>
    <n v="-325.18587599653063"/>
    <n v="0"/>
    <n v="0"/>
    <n v="0"/>
    <n v="-325.18587599653063"/>
  </r>
  <r>
    <x v="6"/>
    <d v="2025-08-05T00:00:00"/>
    <d v="2025-08-25T00:00:00"/>
    <x v="11"/>
    <n v="9"/>
    <n v="185"/>
    <n v="7.9978862239830235"/>
    <n v="6.1587610034538516"/>
    <n v="1139.3707856389626"/>
    <n v="1479.6089514368593"/>
    <n v="-340.23816579789673"/>
    <n v="-24.364180016395196"/>
    <n v="-364.60234581429194"/>
    <n v="0"/>
    <n v="0"/>
    <n v="0"/>
    <n v="-364.60234581429194"/>
  </r>
  <r>
    <x v="7"/>
    <d v="2025-09-04T00:00:00"/>
    <d v="2025-09-24T00:00:00"/>
    <x v="11"/>
    <n v="9"/>
    <n v="191"/>
    <n v="7.9978862239830235"/>
    <n v="6.1587610034538516"/>
    <n v="1176.3233516596856"/>
    <n v="1527.5962687807576"/>
    <n v="-351.27291712107194"/>
    <n v="-25.154369638548555"/>
    <n v="-376.42728675962047"/>
    <n v="0"/>
    <n v="0"/>
    <n v="0"/>
    <n v="-376.42728675962047"/>
  </r>
  <r>
    <x v="8"/>
    <d v="2025-10-03T00:00:00"/>
    <d v="2025-10-24T00:00:00"/>
    <x v="11"/>
    <n v="9"/>
    <n v="140"/>
    <n v="7.9978862239830235"/>
    <n v="6.1587610034538516"/>
    <n v="862.22654048353922"/>
    <n v="1119.7040713576232"/>
    <n v="-257.47753087408398"/>
    <n v="-18.437757850245013"/>
    <n v="-275.915288724329"/>
    <n v="0"/>
    <n v="0"/>
    <n v="0"/>
    <n v="-275.915288724329"/>
  </r>
  <r>
    <x v="9"/>
    <d v="2025-11-05T00:00:00"/>
    <d v="2025-11-24T00:00:00"/>
    <x v="11"/>
    <n v="9"/>
    <n v="137"/>
    <n v="7.9978862239830235"/>
    <n v="6.1587610034538516"/>
    <n v="843.75025747317761"/>
    <n v="1095.7104126856743"/>
    <n v="-251.96015521249672"/>
    <n v="-18.042663039168335"/>
    <n v="-270.00281825166508"/>
    <n v="0"/>
    <n v="0"/>
    <n v="0"/>
    <n v="-270.00281825166508"/>
  </r>
  <r>
    <x v="10"/>
    <d v="2025-12-03T00:00:00"/>
    <d v="2025-12-24T00:00:00"/>
    <x v="11"/>
    <n v="9"/>
    <n v="120"/>
    <n v="7.9978862239830235"/>
    <n v="6.1587610034538516"/>
    <n v="739.05132041446223"/>
    <n v="959.74634687796288"/>
    <n v="-220.69502646350065"/>
    <n v="-15.803792443067154"/>
    <n v="-236.49881890656781"/>
    <n v="0"/>
    <n v="0"/>
    <n v="0"/>
    <n v="-236.49881890656781"/>
  </r>
  <r>
    <x v="11"/>
    <d v="2026-01-06T00:00:00"/>
    <d v="2026-01-26T00:00:00"/>
    <x v="11"/>
    <n v="9"/>
    <n v="128"/>
    <n v="7.9978862239830235"/>
    <n v="6.1587610034538516"/>
    <n v="788.321408442093"/>
    <n v="1023.729436669827"/>
    <n v="-235.40802822773401"/>
    <n v="-16.857378605938298"/>
    <n v="-252.2654068336723"/>
    <n v="0"/>
    <n v="0"/>
    <n v="0"/>
    <n v="-252.2654068336723"/>
  </r>
  <r>
    <x v="0"/>
    <d v="2025-02-05T00:00:00"/>
    <d v="2025-02-24T00:00:00"/>
    <x v="12"/>
    <n v="9"/>
    <n v="11"/>
    <n v="7.9978862239830235"/>
    <n v="6.1587610034538516"/>
    <n v="67.746371037992361"/>
    <n v="87.976748463813266"/>
    <n v="-20.230377425820905"/>
    <n v="-1.4486809739478226"/>
    <n v="-21.679058399768728"/>
    <n v="0"/>
    <n v="0"/>
    <n v="0"/>
    <n v="-21.679058399768728"/>
  </r>
  <r>
    <x v="1"/>
    <d v="2025-03-05T00:00:00"/>
    <d v="2025-03-24T00:00:00"/>
    <x v="12"/>
    <n v="9"/>
    <n v="9"/>
    <n v="7.9978862239830235"/>
    <n v="6.1587610034538516"/>
    <n v="55.428849031084667"/>
    <n v="71.980976015847205"/>
    <n v="-16.552126984762538"/>
    <n v="-1.1852844332300365"/>
    <n v="-17.737411417992575"/>
    <n v="0"/>
    <n v="0"/>
    <n v="0"/>
    <n v="-17.737411417992575"/>
  </r>
  <r>
    <x v="2"/>
    <d v="2025-04-03T00:00:00"/>
    <d v="2025-04-24T00:00:00"/>
    <x v="12"/>
    <n v="9"/>
    <n v="8"/>
    <n v="7.9978862239830235"/>
    <n v="6.1587610034538516"/>
    <n v="49.270088027630813"/>
    <n v="63.983089791864188"/>
    <n v="-14.713001764233375"/>
    <n v="-1.0535861628711436"/>
    <n v="-15.766587927104519"/>
    <n v="0"/>
    <n v="0"/>
    <n v="0"/>
    <n v="-15.766587927104519"/>
  </r>
  <r>
    <x v="3"/>
    <d v="2025-05-05T00:00:00"/>
    <d v="2025-05-26T00:00:00"/>
    <x v="12"/>
    <n v="9"/>
    <n v="10"/>
    <n v="7.9978862239830235"/>
    <n v="6.1587610034538516"/>
    <n v="61.587610034538514"/>
    <n v="79.978862239830235"/>
    <n v="-18.391252205291721"/>
    <n v="-1.3169827035889294"/>
    <n v="-19.708234908880652"/>
    <n v="0"/>
    <n v="0"/>
    <n v="0"/>
    <n v="-19.708234908880652"/>
  </r>
  <r>
    <x v="4"/>
    <d v="2025-06-04T00:00:00"/>
    <d v="2025-06-24T00:00:00"/>
    <x v="12"/>
    <n v="9"/>
    <n v="11"/>
    <n v="7.9978862239830235"/>
    <n v="6.1587610034538516"/>
    <n v="67.746371037992361"/>
    <n v="87.976748463813266"/>
    <n v="-20.230377425820905"/>
    <n v="-1.4486809739478226"/>
    <n v="-21.679058399768728"/>
    <n v="0"/>
    <n v="0"/>
    <n v="0"/>
    <n v="-21.679058399768728"/>
  </r>
  <r>
    <x v="5"/>
    <d v="2025-07-03T00:00:00"/>
    <d v="2025-07-24T00:00:00"/>
    <x v="12"/>
    <n v="9"/>
    <n v="11"/>
    <n v="7.9978862239830235"/>
    <n v="6.1587610034538516"/>
    <n v="67.746371037992361"/>
    <n v="87.976748463813266"/>
    <n v="-20.230377425820905"/>
    <n v="-1.4486809739478226"/>
    <n v="-21.679058399768728"/>
    <n v="0"/>
    <n v="0"/>
    <n v="0"/>
    <n v="-21.679058399768728"/>
  </r>
  <r>
    <x v="6"/>
    <d v="2025-08-05T00:00:00"/>
    <d v="2025-08-25T00:00:00"/>
    <x v="12"/>
    <n v="9"/>
    <n v="14"/>
    <n v="7.9978862239830235"/>
    <n v="6.1587610034538516"/>
    <n v="86.222654048353917"/>
    <n v="111.97040713576233"/>
    <n v="-25.747753087408412"/>
    <n v="-1.8437757850245013"/>
    <n v="-27.591528872432914"/>
    <n v="0"/>
    <n v="0"/>
    <n v="0"/>
    <n v="-27.591528872432914"/>
  </r>
  <r>
    <x v="7"/>
    <d v="2025-09-04T00:00:00"/>
    <d v="2025-09-24T00:00:00"/>
    <x v="12"/>
    <n v="9"/>
    <n v="11"/>
    <n v="7.9978862239830235"/>
    <n v="6.1587610034538516"/>
    <n v="67.746371037992361"/>
    <n v="87.976748463813266"/>
    <n v="-20.230377425820905"/>
    <n v="-1.4486809739478226"/>
    <n v="-21.679058399768728"/>
    <n v="0"/>
    <n v="0"/>
    <n v="0"/>
    <n v="-21.679058399768728"/>
  </r>
  <r>
    <x v="8"/>
    <d v="2025-10-03T00:00:00"/>
    <d v="2025-10-24T00:00:00"/>
    <x v="12"/>
    <n v="9"/>
    <n v="12"/>
    <n v="7.9978862239830235"/>
    <n v="6.1587610034538516"/>
    <n v="73.905132041446223"/>
    <n v="95.974634687796282"/>
    <n v="-22.06950264635006"/>
    <n v="-1.5803792443067157"/>
    <n v="-23.649881890656776"/>
    <n v="0"/>
    <n v="0"/>
    <n v="0"/>
    <n v="-23.649881890656776"/>
  </r>
  <r>
    <x v="9"/>
    <d v="2025-11-05T00:00:00"/>
    <d v="2025-11-24T00:00:00"/>
    <x v="12"/>
    <n v="9"/>
    <n v="13"/>
    <n v="7.9978862239830235"/>
    <n v="6.1587610034538516"/>
    <n v="80.06389304490007"/>
    <n v="103.9725209117793"/>
    <n v="-23.908627866879229"/>
    <n v="-1.7120775146656084"/>
    <n v="-25.620705381544838"/>
    <n v="0"/>
    <n v="0"/>
    <n v="0"/>
    <n v="-25.620705381544838"/>
  </r>
  <r>
    <x v="10"/>
    <d v="2025-12-03T00:00:00"/>
    <d v="2025-12-24T00:00:00"/>
    <x v="12"/>
    <n v="9"/>
    <n v="10"/>
    <n v="7.9978862239830235"/>
    <n v="6.1587610034538516"/>
    <n v="61.587610034538514"/>
    <n v="79.978862239830235"/>
    <n v="-18.391252205291721"/>
    <n v="-1.3169827035889294"/>
    <n v="-19.708234908880652"/>
    <n v="0"/>
    <n v="0"/>
    <n v="0"/>
    <n v="-19.708234908880652"/>
  </r>
  <r>
    <x v="11"/>
    <d v="2026-01-06T00:00:00"/>
    <d v="2026-01-26T00:00:00"/>
    <x v="12"/>
    <n v="9"/>
    <n v="7"/>
    <n v="7.9978862239830235"/>
    <n v="6.1587610034538516"/>
    <n v="43.111327024176958"/>
    <n v="55.985203567881165"/>
    <n v="-12.873876543704206"/>
    <n v="-0.92188789251225067"/>
    <n v="-13.795764436216457"/>
    <n v="0"/>
    <n v="0"/>
    <n v="0"/>
    <n v="-13.795764436216457"/>
  </r>
  <r>
    <x v="0"/>
    <d v="2025-02-05T00:00:00"/>
    <d v="2025-02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7.9978862239830235"/>
    <n v="6.1587610034538516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7.9978862239830235"/>
    <n v="6.1587610034538516"/>
    <n v="227.8741571277925"/>
    <n v="295.92179028737189"/>
    <n v="-68.047633159579391"/>
    <n v="-4.8728360032790397"/>
    <n v="-72.920469162858424"/>
    <n v="0"/>
    <n v="0"/>
    <n v="0"/>
    <n v="-72.920469162858424"/>
  </r>
  <r>
    <x v="1"/>
    <d v="2025-03-05T00:00:00"/>
    <d v="2025-03-24T00:00:00"/>
    <x v="14"/>
    <n v="9"/>
    <n v="42"/>
    <n v="7.9978862239830235"/>
    <n v="6.1587610034538516"/>
    <n v="258.66796214506178"/>
    <n v="335.91122140728697"/>
    <n v="-77.243259262225195"/>
    <n v="-5.531327355073504"/>
    <n v="-82.774586617298695"/>
    <n v="0"/>
    <n v="0"/>
    <n v="0"/>
    <n v="-82.774586617298695"/>
  </r>
  <r>
    <x v="2"/>
    <d v="2025-04-03T00:00:00"/>
    <d v="2025-04-24T00:00:00"/>
    <x v="14"/>
    <n v="9"/>
    <n v="30"/>
    <n v="7.9978862239830235"/>
    <n v="6.1587610034538516"/>
    <n v="184.76283010361556"/>
    <n v="239.93658671949072"/>
    <n v="-55.173756615875163"/>
    <n v="-3.9509481107667885"/>
    <n v="-59.124704726641951"/>
    <n v="0"/>
    <n v="0"/>
    <n v="0"/>
    <n v="-59.124704726641951"/>
  </r>
  <r>
    <x v="3"/>
    <d v="2025-05-05T00:00:00"/>
    <d v="2025-05-26T00:00:00"/>
    <x v="14"/>
    <n v="9"/>
    <n v="32"/>
    <n v="7.9978862239830235"/>
    <n v="6.1587610034538516"/>
    <n v="197.08035211052325"/>
    <n v="255.93235916745675"/>
    <n v="-58.852007056933502"/>
    <n v="-4.2143446514845744"/>
    <n v="-63.066351708418075"/>
    <n v="0"/>
    <n v="0"/>
    <n v="0"/>
    <n v="-63.066351708418075"/>
  </r>
  <r>
    <x v="4"/>
    <d v="2025-06-04T00:00:00"/>
    <d v="2025-06-24T00:00:00"/>
    <x v="14"/>
    <n v="9"/>
    <n v="39"/>
    <n v="7.9978862239830235"/>
    <n v="6.1587610034538516"/>
    <n v="240.19167913470022"/>
    <n v="311.91756273533792"/>
    <n v="-71.725883600637701"/>
    <n v="-5.1362325439968259"/>
    <n v="-76.862116144634527"/>
    <n v="0"/>
    <n v="0"/>
    <n v="0"/>
    <n v="-76.862116144634527"/>
  </r>
  <r>
    <x v="5"/>
    <d v="2025-07-03T00:00:00"/>
    <d v="2025-07-24T00:00:00"/>
    <x v="14"/>
    <n v="9"/>
    <n v="47"/>
    <n v="7.9978862239830235"/>
    <n v="6.1587610034538516"/>
    <n v="289.461767162331"/>
    <n v="375.90065252720211"/>
    <n v="-86.438885364871112"/>
    <n v="-6.1898187068679693"/>
    <n v="-92.628704071739079"/>
    <n v="0"/>
    <n v="0"/>
    <n v="0"/>
    <n v="-92.628704071739079"/>
  </r>
  <r>
    <x v="6"/>
    <d v="2025-08-05T00:00:00"/>
    <d v="2025-08-25T00:00:00"/>
    <x v="14"/>
    <n v="9"/>
    <n v="53"/>
    <n v="7.9978862239830235"/>
    <n v="6.1587610034538516"/>
    <n v="326.41433318305411"/>
    <n v="423.88796987110027"/>
    <n v="-97.473636688046156"/>
    <n v="-6.9800083290213273"/>
    <n v="-104.45364501706749"/>
    <n v="0"/>
    <n v="0"/>
    <n v="0"/>
    <n v="-104.45364501706749"/>
  </r>
  <r>
    <x v="7"/>
    <d v="2025-09-04T00:00:00"/>
    <d v="2025-09-24T00:00:00"/>
    <x v="14"/>
    <n v="9"/>
    <n v="52"/>
    <n v="7.9978862239830235"/>
    <n v="6.1587610034538516"/>
    <n v="320.25557217960028"/>
    <n v="415.89008364711719"/>
    <n v="-95.634511467516916"/>
    <n v="-6.8483100586624337"/>
    <n v="-102.48282152617935"/>
    <n v="0"/>
    <n v="0"/>
    <n v="0"/>
    <n v="-102.48282152617935"/>
  </r>
  <r>
    <x v="8"/>
    <d v="2025-10-03T00:00:00"/>
    <d v="2025-10-24T00:00:00"/>
    <x v="14"/>
    <n v="9"/>
    <n v="45"/>
    <n v="7.9978862239830235"/>
    <n v="6.1587610034538516"/>
    <n v="277.14424515542333"/>
    <n v="359.90488007923608"/>
    <n v="-82.760634923812745"/>
    <n v="-5.926422166150183"/>
    <n v="-88.687057089962934"/>
    <n v="0"/>
    <n v="0"/>
    <n v="0"/>
    <n v="-88.687057089962934"/>
  </r>
  <r>
    <x v="9"/>
    <d v="2025-11-05T00:00:00"/>
    <d v="2025-11-24T00:00:00"/>
    <x v="14"/>
    <n v="9"/>
    <n v="41"/>
    <n v="7.9978862239830235"/>
    <n v="6.1587610034538516"/>
    <n v="252.50920114160792"/>
    <n v="327.91333518330396"/>
    <n v="-75.40413404169604"/>
    <n v="-5.3996290847146113"/>
    <n v="-80.803763126410644"/>
    <n v="0"/>
    <n v="0"/>
    <n v="0"/>
    <n v="-80.803763126410644"/>
  </r>
  <r>
    <x v="10"/>
    <d v="2025-12-03T00:00:00"/>
    <d v="2025-12-24T00:00:00"/>
    <x v="14"/>
    <n v="9"/>
    <n v="29"/>
    <n v="7.9978862239830235"/>
    <n v="6.1587610034538516"/>
    <n v="178.60406910016169"/>
    <n v="231.93870049550767"/>
    <n v="-53.33463139534598"/>
    <n v="-3.8192498404078958"/>
    <n v="-57.153881235753879"/>
    <n v="0"/>
    <n v="0"/>
    <n v="0"/>
    <n v="-57.153881235753879"/>
  </r>
  <r>
    <x v="11"/>
    <d v="2026-01-06T00:00:00"/>
    <d v="2026-01-26T00:00:00"/>
    <x v="14"/>
    <n v="9"/>
    <n v="36"/>
    <n v="7.9978862239830235"/>
    <n v="6.1587610034538516"/>
    <n v="221.71539612433867"/>
    <n v="287.92390406338882"/>
    <n v="-66.208507939050151"/>
    <n v="-4.7411377329201461"/>
    <n v="-70.949645671970302"/>
    <n v="0"/>
    <n v="0"/>
    <n v="0"/>
    <n v="-70.949645671970302"/>
  </r>
  <r>
    <x v="0"/>
    <d v="2025-02-05T00:00:00"/>
    <d v="2025-02-24T00:00:00"/>
    <x v="15"/>
    <n v="9"/>
    <n v="106"/>
    <n v="7.9978862239830235"/>
    <n v="6.1587610034538516"/>
    <n v="652.82866636610822"/>
    <n v="847.77593974220053"/>
    <n v="-194.94727337609231"/>
    <n v="-13.960016658042655"/>
    <n v="-208.90729003413497"/>
    <n v="0"/>
    <n v="0"/>
    <n v="0"/>
    <n v="-208.90729003413497"/>
  </r>
  <r>
    <x v="1"/>
    <d v="2025-03-05T00:00:00"/>
    <d v="2025-03-24T00:00:00"/>
    <x v="15"/>
    <n v="9"/>
    <n v="102"/>
    <n v="7.9978862239830235"/>
    <n v="6.1587610034538516"/>
    <n v="628.19362235229289"/>
    <n v="815.78439484626836"/>
    <n v="-187.59077249397546"/>
    <n v="-13.433223576607082"/>
    <n v="-201.02399607058254"/>
    <n v="0"/>
    <n v="0"/>
    <n v="0"/>
    <n v="-201.02399607058254"/>
  </r>
  <r>
    <x v="2"/>
    <d v="2025-04-03T00:00:00"/>
    <d v="2025-04-24T00:00:00"/>
    <x v="15"/>
    <n v="9"/>
    <n v="100"/>
    <n v="7.9978862239830235"/>
    <n v="6.1587610034538516"/>
    <n v="615.87610034538511"/>
    <n v="799.78862239830232"/>
    <n v="-183.91252205291721"/>
    <n v="-13.169827035889297"/>
    <n v="-197.0823490888065"/>
    <n v="0"/>
    <n v="0"/>
    <n v="0"/>
    <n v="-197.0823490888065"/>
  </r>
  <r>
    <x v="3"/>
    <d v="2025-05-05T00:00:00"/>
    <d v="2025-05-26T00:00:00"/>
    <x v="15"/>
    <n v="9"/>
    <n v="60"/>
    <n v="7.9978862239830235"/>
    <n v="6.1587610034538516"/>
    <n v="369.52566020723111"/>
    <n v="479.87317343898144"/>
    <n v="-110.34751323175033"/>
    <n v="-7.9018962215335771"/>
    <n v="-118.2494094532839"/>
    <n v="0"/>
    <n v="0"/>
    <n v="0"/>
    <n v="-118.2494094532839"/>
  </r>
  <r>
    <x v="4"/>
    <d v="2025-06-04T00:00:00"/>
    <d v="2025-06-24T00:00:00"/>
    <x v="15"/>
    <n v="9"/>
    <n v="96"/>
    <n v="7.9978862239830235"/>
    <n v="6.1587610034538516"/>
    <n v="591.24105633156978"/>
    <n v="767.79707750237026"/>
    <n v="-176.55602117080048"/>
    <n v="-12.643033954453726"/>
    <n v="-189.1990551252542"/>
    <n v="0"/>
    <n v="0"/>
    <n v="0"/>
    <n v="-189.1990551252542"/>
  </r>
  <r>
    <x v="5"/>
    <d v="2025-07-03T00:00:00"/>
    <d v="2025-07-24T00:00:00"/>
    <x v="15"/>
    <n v="9"/>
    <n v="119"/>
    <n v="7.9978862239830235"/>
    <n v="6.1587610034538516"/>
    <n v="732.89255941100839"/>
    <n v="951.74846065397981"/>
    <n v="-218.85590124297141"/>
    <n v="-15.672094172708261"/>
    <n v="-234.52799541567967"/>
    <n v="0"/>
    <n v="0"/>
    <n v="0"/>
    <n v="-234.52799541567967"/>
  </r>
  <r>
    <x v="6"/>
    <d v="2025-08-05T00:00:00"/>
    <d v="2025-08-25T00:00:00"/>
    <x v="15"/>
    <n v="9"/>
    <n v="118"/>
    <n v="7.9978862239830235"/>
    <n v="6.1587610034538516"/>
    <n v="726.73379840755445"/>
    <n v="943.75057442999673"/>
    <n v="-217.01677602244229"/>
    <n v="-15.540395902349371"/>
    <n v="-232.55717192479165"/>
    <n v="0"/>
    <n v="0"/>
    <n v="0"/>
    <n v="-232.55717192479165"/>
  </r>
  <r>
    <x v="7"/>
    <d v="2025-09-04T00:00:00"/>
    <d v="2025-09-24T00:00:00"/>
    <x v="15"/>
    <n v="9"/>
    <n v="119"/>
    <n v="7.9978862239830235"/>
    <n v="6.1587610034538516"/>
    <n v="732.89255941100839"/>
    <n v="951.74846065397981"/>
    <n v="-218.85590124297141"/>
    <n v="-15.672094172708261"/>
    <n v="-234.52799541567967"/>
    <n v="0"/>
    <n v="0"/>
    <n v="0"/>
    <n v="-234.52799541567967"/>
  </r>
  <r>
    <x v="8"/>
    <d v="2025-10-03T00:00:00"/>
    <d v="2025-10-24T00:00:00"/>
    <x v="15"/>
    <n v="9"/>
    <n v="101"/>
    <n v="7.9978862239830235"/>
    <n v="6.1587610034538516"/>
    <n v="622.03486134883906"/>
    <n v="807.7865086222854"/>
    <n v="-185.75164727344634"/>
    <n v="-13.301525306248189"/>
    <n v="-199.05317257969452"/>
    <n v="0"/>
    <n v="0"/>
    <n v="0"/>
    <n v="-199.05317257969452"/>
  </r>
  <r>
    <x v="9"/>
    <d v="2025-11-05T00:00:00"/>
    <d v="2025-11-24T00:00:00"/>
    <x v="15"/>
    <n v="9"/>
    <n v="106"/>
    <n v="7.9978862239830235"/>
    <n v="6.1587610034538516"/>
    <n v="652.82866636610822"/>
    <n v="847.77593974220053"/>
    <n v="-194.94727337609231"/>
    <n v="-13.960016658042655"/>
    <n v="-208.90729003413497"/>
    <n v="0"/>
    <n v="0"/>
    <n v="0"/>
    <n v="-208.90729003413497"/>
  </r>
  <r>
    <x v="10"/>
    <d v="2025-12-03T00:00:00"/>
    <d v="2025-12-24T00:00:00"/>
    <x v="15"/>
    <n v="9"/>
    <n v="35"/>
    <n v="7.9978862239830235"/>
    <n v="6.1587610034538516"/>
    <n v="215.55663512088481"/>
    <n v="279.9260178394058"/>
    <n v="-64.369382718520995"/>
    <n v="-4.6094394625612534"/>
    <n v="-68.978822181082251"/>
    <n v="0"/>
    <n v="0"/>
    <n v="0"/>
    <n v="-68.978822181082251"/>
  </r>
  <r>
    <x v="11"/>
    <d v="2026-01-06T00:00:00"/>
    <d v="2026-01-26T00:00:00"/>
    <x v="15"/>
    <n v="9"/>
    <n v="103"/>
    <n v="7.9978862239830235"/>
    <n v="6.1587610034538516"/>
    <n v="634.35238335574672"/>
    <n v="823.78228107025143"/>
    <n v="-189.4298977145047"/>
    <n v="-13.564921846965975"/>
    <n v="-202.99481956147068"/>
    <n v="0"/>
    <n v="0"/>
    <n v="0"/>
    <n v="-202.994819561470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J24" sqref="J24"/>
    </sheetView>
  </sheetViews>
  <sheetFormatPr defaultColWidth="8.7109375" defaultRowHeight="12.75" x14ac:dyDescent="0.2"/>
  <sheetData>
    <row r="1" spans="1:2" x14ac:dyDescent="0.2">
      <c r="A1" t="s">
        <v>64</v>
      </c>
    </row>
    <row r="3" spans="1:2" x14ac:dyDescent="0.2">
      <c r="A3">
        <v>1</v>
      </c>
      <c r="B3" s="1" t="s">
        <v>66</v>
      </c>
    </row>
    <row r="4" spans="1:2" x14ac:dyDescent="0.2">
      <c r="A4">
        <v>2</v>
      </c>
      <c r="B4" s="1" t="s">
        <v>65</v>
      </c>
    </row>
    <row r="5" spans="1:2" x14ac:dyDescent="0.2">
      <c r="A5">
        <v>3</v>
      </c>
      <c r="B5" s="1" t="s">
        <v>67</v>
      </c>
    </row>
    <row r="6" spans="1:2" x14ac:dyDescent="0.2">
      <c r="A6">
        <v>4</v>
      </c>
      <c r="B6" s="2" t="s">
        <v>81</v>
      </c>
    </row>
    <row r="7" spans="1:2" x14ac:dyDescent="0.2">
      <c r="A7">
        <v>5</v>
      </c>
      <c r="B7" s="1" t="s">
        <v>68</v>
      </c>
    </row>
    <row r="8" spans="1:2" x14ac:dyDescent="0.2">
      <c r="A8">
        <v>6</v>
      </c>
      <c r="B8" s="1" t="s">
        <v>69</v>
      </c>
    </row>
    <row r="9" spans="1:2" x14ac:dyDescent="0.2">
      <c r="A9">
        <v>7</v>
      </c>
      <c r="B9" s="3" t="s">
        <v>70</v>
      </c>
    </row>
    <row r="10" spans="1:2" x14ac:dyDescent="0.2">
      <c r="A10">
        <v>8</v>
      </c>
      <c r="B10" s="1" t="s">
        <v>73</v>
      </c>
    </row>
    <row r="11" spans="1:2" x14ac:dyDescent="0.2">
      <c r="B11" s="1" t="s">
        <v>74</v>
      </c>
    </row>
    <row r="12" spans="1:2" x14ac:dyDescent="0.2">
      <c r="B12" s="3" t="s">
        <v>75</v>
      </c>
    </row>
    <row r="13" spans="1:2" x14ac:dyDescent="0.2">
      <c r="B13" s="3" t="s">
        <v>76</v>
      </c>
    </row>
    <row r="14" spans="1:2" x14ac:dyDescent="0.2">
      <c r="A14">
        <v>9</v>
      </c>
      <c r="B14" s="1" t="s">
        <v>77</v>
      </c>
    </row>
    <row r="15" spans="1:2" x14ac:dyDescent="0.2">
      <c r="A15">
        <v>10</v>
      </c>
      <c r="B15" s="1" t="s">
        <v>79</v>
      </c>
    </row>
    <row r="16" spans="1:2" x14ac:dyDescent="0.2">
      <c r="A16">
        <v>11</v>
      </c>
      <c r="B16" s="1" t="s">
        <v>80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4"/>
  <sheetViews>
    <sheetView tabSelected="1" zoomScale="85" zoomScaleNormal="85" zoomScaleSheetLayoutView="100" workbookViewId="0">
      <selection activeCell="C6" sqref="C6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6.57031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21" t="str">
        <f>+Transactions!B1</f>
        <v>AEPTCo Formula Rate -- FERC Docket ER18-194</v>
      </c>
      <c r="D1" s="221"/>
      <c r="E1" s="221"/>
      <c r="F1" s="221"/>
      <c r="G1" s="221"/>
      <c r="H1" s="221"/>
      <c r="I1" s="221"/>
      <c r="J1" s="4">
        <v>2025</v>
      </c>
    </row>
    <row r="2" spans="2:17" x14ac:dyDescent="0.2">
      <c r="C2" s="221" t="s">
        <v>98</v>
      </c>
      <c r="D2" s="221"/>
      <c r="E2" s="221"/>
      <c r="F2" s="221"/>
      <c r="G2" s="221"/>
      <c r="H2" s="221"/>
      <c r="I2" s="221"/>
      <c r="J2">
        <v>2026</v>
      </c>
    </row>
    <row r="3" spans="2:17" x14ac:dyDescent="0.2">
      <c r="C3" s="221" t="str">
        <f>"for period 01/01/"&amp;F8&amp;" - 12/31/"&amp;F8</f>
        <v>for period 01/01/2025 - 12/31/2025</v>
      </c>
      <c r="D3" s="221"/>
      <c r="E3" s="221"/>
      <c r="F3" s="221"/>
      <c r="G3" s="221"/>
      <c r="H3" s="221"/>
      <c r="I3" s="221"/>
    </row>
    <row r="4" spans="2:17" x14ac:dyDescent="0.2">
      <c r="C4" s="221" t="s">
        <v>84</v>
      </c>
      <c r="D4" s="221"/>
      <c r="E4" s="221"/>
      <c r="F4" s="221"/>
      <c r="G4" s="221"/>
      <c r="H4" s="221"/>
      <c r="I4" s="221"/>
    </row>
    <row r="5" spans="2:17" x14ac:dyDescent="0.2">
      <c r="C5" s="5" t="str">
        <f>"Prepared:  May 22_, "&amp;J2&amp;""</f>
        <v>Prepared:  May 22_,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96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">
      <c r="B11" s="18"/>
      <c r="C11" s="19" t="s">
        <v>38</v>
      </c>
      <c r="D11" s="20" t="s">
        <v>36</v>
      </c>
      <c r="E11" s="21">
        <f>Transactions!K2</f>
        <v>828261.09735568194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652025.49340158002</v>
      </c>
      <c r="G12" s="29"/>
      <c r="H12" s="30"/>
    </row>
    <row r="13" spans="2:17" ht="21.75" customHeight="1" x14ac:dyDescent="0.2">
      <c r="B13" s="31"/>
      <c r="C13" s="32" t="s">
        <v>39</v>
      </c>
      <c r="D13" s="33" t="s">
        <v>37</v>
      </c>
      <c r="E13" s="34">
        <f>Transactions!K3</f>
        <v>7.9978862239830235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6.1587610034538516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95</v>
      </c>
      <c r="I19" s="48" t="s">
        <v>94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51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40</v>
      </c>
      <c r="G20" s="52" t="s">
        <v>7</v>
      </c>
      <c r="H20" s="52" t="s">
        <v>89</v>
      </c>
      <c r="I20" s="53" t="s">
        <v>45</v>
      </c>
      <c r="M20" s="46"/>
      <c r="N20" s="46"/>
      <c r="O20" s="46"/>
      <c r="P20" s="46"/>
      <c r="Q20" s="46"/>
    </row>
    <row r="21" spans="2:17" x14ac:dyDescent="0.2">
      <c r="B21" s="54"/>
      <c r="C21" s="55" t="s">
        <v>14</v>
      </c>
      <c r="D21" s="56">
        <f>GETPIVOTDATA("Sum of "&amp;T(Transactions!$J$19),Pivot!$A$3,"Customer",C21)</f>
        <v>63102.665241388153</v>
      </c>
      <c r="E21" s="56">
        <f>GETPIVOTDATA("Sum of "&amp;T(Transactions!$K$19),Pivot!$A$3,"Customer",C21)</f>
        <v>81946.342250930058</v>
      </c>
      <c r="F21" s="56">
        <f>D21-E21</f>
        <v>-18843.677009541905</v>
      </c>
      <c r="G21" s="46">
        <f>+GETPIVOTDATA("Sum of "&amp;T(Transactions!$M$19),Pivot!$A$3,"Customer","AECC")</f>
        <v>-1349.3804780972173</v>
      </c>
      <c r="H21" s="46">
        <f>GETPIVOTDATA("Sum of "&amp;T(Transactions!$Q$19),Pivot!$A$3,"Customer","AECC")</f>
        <v>0</v>
      </c>
      <c r="I21" s="57">
        <f>F21+G21-H21</f>
        <v>-20193.057487639122</v>
      </c>
      <c r="J21" s="54"/>
      <c r="M21" s="46"/>
      <c r="N21" s="46"/>
      <c r="O21" s="46"/>
      <c r="P21" s="46"/>
      <c r="Q21" s="46"/>
    </row>
    <row r="22" spans="2:17" x14ac:dyDescent="0.2">
      <c r="B22" s="54"/>
      <c r="C22" s="58" t="s">
        <v>86</v>
      </c>
      <c r="D22" s="56">
        <f>GETPIVOTDATA("Sum of "&amp;T(Transactions!$J$19),Pivot!$A$3,"Customer",C22)</f>
        <v>3159.444394771826</v>
      </c>
      <c r="E22" s="56">
        <f>GETPIVOTDATA("Sum of "&amp;T(Transactions!$K$19),Pivot!$A$3,"Customer",C22)</f>
        <v>4102.9156329032903</v>
      </c>
      <c r="F22" s="56">
        <f>D22-E22</f>
        <v>-943.47123813146436</v>
      </c>
      <c r="G22" s="46">
        <f>+GETPIVOTDATA("Sum of "&amp;T(Transactions!$M$19),Pivot!$A$3,"Customer","AECI")</f>
        <v>-67.561212694112101</v>
      </c>
      <c r="H22" s="46">
        <f>GETPIVOTDATA("Sum of "&amp;T(Transactions!$Q$19),Pivot!$A$3,"Customer",C22)</f>
        <v>0</v>
      </c>
      <c r="I22" s="57">
        <f t="shared" ref="I22:I33" si="0">F22+G22-H22</f>
        <v>-1011.0324508255765</v>
      </c>
      <c r="J22" s="54"/>
      <c r="M22" s="46"/>
      <c r="N22" s="46"/>
      <c r="O22" s="46"/>
      <c r="P22" s="46"/>
      <c r="Q22" s="46"/>
    </row>
    <row r="23" spans="2:17" x14ac:dyDescent="0.2">
      <c r="B23" s="54"/>
      <c r="C23" s="58" t="s">
        <v>55</v>
      </c>
      <c r="D23" s="56">
        <f>GETPIVOTDATA("Sum of "&amp;T(Transactions!$J$19),Pivot!$A$3,"Customer",C23)</f>
        <v>10630.021491961348</v>
      </c>
      <c r="E23" s="56">
        <f>GETPIVOTDATA("Sum of "&amp;T(Transactions!$K$19),Pivot!$A$3,"Customer",C23)</f>
        <v>13804.351622594699</v>
      </c>
      <c r="F23" s="56">
        <f t="shared" ref="F23:F35" si="1">D23-E23</f>
        <v>-3174.3301306333506</v>
      </c>
      <c r="G23" s="46">
        <f>+GETPIVOTDATA("Sum of "&amp;T(Transactions!$M$19),Pivot!$A$3,"Customer","Bentonville, AR")</f>
        <v>-227.31121463944925</v>
      </c>
      <c r="H23" s="46">
        <f>GETPIVOTDATA("Sum of "&amp;T(Transactions!$Q$19),Pivot!$A$3,"Customer",C23)</f>
        <v>0</v>
      </c>
      <c r="I23" s="57">
        <f t="shared" si="0"/>
        <v>-3401.6413452727998</v>
      </c>
      <c r="J23" s="54"/>
      <c r="M23" s="46"/>
      <c r="N23" s="46"/>
      <c r="O23" s="46"/>
      <c r="P23" s="46"/>
      <c r="Q23" s="46"/>
    </row>
    <row r="24" spans="2:17" x14ac:dyDescent="0.2">
      <c r="B24" s="54"/>
      <c r="C24" s="55" t="s">
        <v>17</v>
      </c>
      <c r="D24" s="56">
        <f>GETPIVOTDATA("Sum of "&amp;T(Transactions!$J$19),Pivot!$A$3,"Customer",C24)</f>
        <v>7174.9565690237378</v>
      </c>
      <c r="E24" s="56">
        <f>GETPIVOTDATA("Sum of "&amp;T(Transactions!$K$19),Pivot!$A$3,"Customer",C24)</f>
        <v>9317.5374509402227</v>
      </c>
      <c r="F24" s="56">
        <f t="shared" si="1"/>
        <v>-2142.5808819164849</v>
      </c>
      <c r="G24" s="46">
        <f>+GETPIVOTDATA("Sum of "&amp;T(Transactions!$M$19),Pivot!$A$3,"Customer","Coffeyville, KS")</f>
        <v>-153.4284849681103</v>
      </c>
      <c r="H24" s="46">
        <f>GETPIVOTDATA("Sum of "&amp;T(Transactions!$Q$19),Pivot!$A$3,"Customer",C24)</f>
        <v>0</v>
      </c>
      <c r="I24" s="57">
        <f t="shared" si="0"/>
        <v>-2296.0093668845952</v>
      </c>
      <c r="J24" s="54"/>
      <c r="M24" s="46"/>
      <c r="N24" s="46"/>
      <c r="O24" s="46"/>
      <c r="P24" s="46"/>
      <c r="Q24" s="46"/>
    </row>
    <row r="25" spans="2:17" x14ac:dyDescent="0.2">
      <c r="B25" s="54"/>
      <c r="C25" s="58" t="s">
        <v>13</v>
      </c>
      <c r="D25" s="56">
        <f>GETPIVOTDATA("Sum of "&amp;T(Transactions!$J$19),Pivot!$A$3,"Customer",C25)</f>
        <v>68195.960591244497</v>
      </c>
      <c r="E25" s="56">
        <f>GETPIVOTDATA("Sum of "&amp;T(Transactions!$K$19),Pivot!$A$3,"Customer",C25)</f>
        <v>88560.594158164036</v>
      </c>
      <c r="F25" s="56">
        <f t="shared" si="1"/>
        <v>-20364.63356691954</v>
      </c>
      <c r="G25" s="46">
        <f>+GETPIVOTDATA("Sum of "&amp;T(Transactions!$M$19),Pivot!$A$3,"Customer","ETEC")</f>
        <v>-1458.2949476840217</v>
      </c>
      <c r="H25" s="46">
        <f>GETPIVOTDATA("Sum of "&amp;T(Transactions!$Q$19),Pivot!$A$3,"Customer",C25)</f>
        <v>0</v>
      </c>
      <c r="I25" s="57">
        <f t="shared" si="0"/>
        <v>-21822.928514603562</v>
      </c>
      <c r="J25" s="54"/>
      <c r="L25" s="1"/>
      <c r="M25" s="46"/>
      <c r="N25" s="46"/>
      <c r="O25" s="46"/>
      <c r="P25" s="46"/>
      <c r="Q25" s="46"/>
    </row>
    <row r="26" spans="2:17" x14ac:dyDescent="0.2">
      <c r="B26" s="54"/>
      <c r="C26" s="55" t="s">
        <v>15</v>
      </c>
      <c r="D26" s="56">
        <f>GETPIVOTDATA("Sum of "&amp;T(Transactions!$J$19),Pivot!$A$3,"Customer",C26)</f>
        <v>628.19362235229278</v>
      </c>
      <c r="E26" s="56">
        <f>GETPIVOTDATA("Sum of "&amp;T(Transactions!$K$19),Pivot!$A$3,"Customer",C26)</f>
        <v>815.78439484626836</v>
      </c>
      <c r="F26" s="56">
        <f t="shared" si="1"/>
        <v>-187.59077249397558</v>
      </c>
      <c r="G26" s="46">
        <f>+GETPIVOTDATA("Sum of "&amp;T(Transactions!$M$19),Pivot!$A$3,"Customer","Greenbelt")</f>
        <v>-13.43322357660708</v>
      </c>
      <c r="H26" s="46">
        <f>GETPIVOTDATA("Sum of "&amp;T(Transactions!$Q$19),Pivot!$A$3,"Customer",C26)</f>
        <v>0</v>
      </c>
      <c r="I26" s="57">
        <f t="shared" si="0"/>
        <v>-201.02399607058265</v>
      </c>
      <c r="J26" s="54"/>
      <c r="K26" s="59"/>
      <c r="L26" s="59"/>
      <c r="M26" s="59"/>
      <c r="N26" s="59"/>
      <c r="O26" s="46"/>
      <c r="P26" s="46"/>
      <c r="Q26" s="46"/>
    </row>
    <row r="27" spans="2:17" x14ac:dyDescent="0.2">
      <c r="B27" s="54"/>
      <c r="C27" s="55" t="s">
        <v>58</v>
      </c>
      <c r="D27" s="56">
        <f>GETPIVOTDATA("Sum of "&amp;T(Transactions!$J$19),Pivot!$A$3,"Customer",C27)</f>
        <v>2974.6815646682098</v>
      </c>
      <c r="E27" s="56">
        <f>GETPIVOTDATA("Sum of "&amp;T(Transactions!$K$19),Pivot!$A$3,"Customer",C27)</f>
        <v>3862.9790461838002</v>
      </c>
      <c r="F27" s="56">
        <f t="shared" si="1"/>
        <v>-888.29748151559033</v>
      </c>
      <c r="G27" s="46">
        <f>+GETPIVOTDATA("Sum of "&amp;T(Transactions!$M$19),Pivot!$A$3,"Customer","Hope, AR")</f>
        <v>-63.610264583345298</v>
      </c>
      <c r="H27" s="46">
        <f>GETPIVOTDATA("Sum of "&amp;T(Transactions!$Q$19),Pivot!$A$3,"Customer",C27)</f>
        <v>0</v>
      </c>
      <c r="I27" s="57">
        <f t="shared" si="0"/>
        <v>-951.9077460989356</v>
      </c>
      <c r="J27" s="54"/>
      <c r="K27" s="59"/>
      <c r="L27" s="59"/>
      <c r="M27" s="59"/>
      <c r="N27" s="59"/>
      <c r="O27" s="46"/>
      <c r="P27" s="46"/>
      <c r="Q27" s="46"/>
    </row>
    <row r="28" spans="2:17" x14ac:dyDescent="0.2">
      <c r="B28" s="54"/>
      <c r="C28" s="55" t="s">
        <v>16</v>
      </c>
      <c r="D28" s="56">
        <f>GETPIVOTDATA("Sum of "&amp;T(Transactions!$J$19),Pivot!$A$3,"Customer",C28)</f>
        <v>203.23911311397708</v>
      </c>
      <c r="E28" s="56">
        <f>GETPIVOTDATA("Sum of "&amp;T(Transactions!$K$19),Pivot!$A$3,"Customer",C28)</f>
        <v>263.93024539143977</v>
      </c>
      <c r="F28" s="56">
        <f t="shared" si="1"/>
        <v>-60.691132277462685</v>
      </c>
      <c r="G28" s="46">
        <f>+GETPIVOTDATA("Sum of "&amp;T(Transactions!$M$19),Pivot!$A$3,"Customer","Lighthouse")</f>
        <v>-4.346042921843468</v>
      </c>
      <c r="H28" s="46">
        <f>GETPIVOTDATA("Sum of "&amp;T(Transactions!$Q$19),Pivot!$A$3,"Customer",C28)</f>
        <v>0</v>
      </c>
      <c r="I28" s="57">
        <f t="shared" si="0"/>
        <v>-65.037175199306148</v>
      </c>
      <c r="J28" s="54"/>
      <c r="M28" s="46"/>
      <c r="N28" s="46"/>
      <c r="O28" s="46"/>
      <c r="P28" s="46"/>
      <c r="Q28" s="46"/>
    </row>
    <row r="29" spans="2:17" x14ac:dyDescent="0.2">
      <c r="B29" s="54"/>
      <c r="C29" s="58" t="s">
        <v>57</v>
      </c>
      <c r="D29" s="56">
        <f>GETPIVOTDATA("Sum of "&amp;T(Transactions!$J$19),Pivot!$A$3,"Customer",C29)</f>
        <v>0</v>
      </c>
      <c r="E29" s="56">
        <f>GETPIVOTDATA("Sum of "&amp;T(Transactions!$K$19),Pivot!$A$3,"Customer",C29)</f>
        <v>0</v>
      </c>
      <c r="F29" s="56">
        <f t="shared" si="1"/>
        <v>0</v>
      </c>
      <c r="G29" s="46">
        <f>+GETPIVOTDATA("Sum of "&amp;T(Transactions!$M$19),Pivot!$A$3,"Customer","Minden, LA")</f>
        <v>0</v>
      </c>
      <c r="H29" s="46">
        <f>GETPIVOTDATA("Sum of "&amp;T(Transactions!$Q$19),Pivot!$A$3,"Customer",C29)</f>
        <v>0</v>
      </c>
      <c r="I29" s="57">
        <f t="shared" si="0"/>
        <v>0</v>
      </c>
      <c r="J29" s="54"/>
      <c r="M29" s="46"/>
      <c r="N29" s="46"/>
      <c r="O29" s="46"/>
      <c r="P29" s="46"/>
      <c r="Q29" s="46"/>
    </row>
    <row r="30" spans="2:17" x14ac:dyDescent="0.2">
      <c r="B30" s="54"/>
      <c r="C30" s="58" t="s">
        <v>19</v>
      </c>
      <c r="D30" s="56">
        <f>GETPIVOTDATA("Sum of "&amp;T(Transactions!$J$19),Pivot!$A$3,"Customer",C30)</f>
        <v>4594.4357085765741</v>
      </c>
      <c r="E30" s="56">
        <f>GETPIVOTDATA("Sum of "&amp;T(Transactions!$K$19),Pivot!$A$3,"Customer",C30)</f>
        <v>5966.4231230913356</v>
      </c>
      <c r="F30" s="56">
        <f t="shared" si="1"/>
        <v>-1371.9874145147614</v>
      </c>
      <c r="G30" s="46">
        <f>+GETPIVOTDATA("Sum of "&amp;T(Transactions!$M$19),Pivot!$A$3,"Customer","OG&amp;E")</f>
        <v>-98.246909687734131</v>
      </c>
      <c r="H30" s="46">
        <f>GETPIVOTDATA("Sum of "&amp;T(Transactions!$Q$19),Pivot!$A$3,"Customer",C30)</f>
        <v>0</v>
      </c>
      <c r="I30" s="57">
        <f t="shared" si="0"/>
        <v>-1470.2343242024956</v>
      </c>
      <c r="J30" s="54"/>
    </row>
    <row r="31" spans="2:17" x14ac:dyDescent="0.2">
      <c r="B31" s="54"/>
      <c r="C31" s="55" t="s">
        <v>8</v>
      </c>
      <c r="D31" s="56">
        <f>GETPIVOTDATA("Sum of "&amp;T(Transactions!$J$19),Pivot!$A$3,"Customer",C31)</f>
        <v>7643.0224052862295</v>
      </c>
      <c r="E31" s="56">
        <f>GETPIVOTDATA("Sum of "&amp;T(Transactions!$K$19),Pivot!$A$3,"Customer",C31)</f>
        <v>9925.3768039629322</v>
      </c>
      <c r="F31" s="56">
        <f t="shared" si="1"/>
        <v>-2282.3543986767027</v>
      </c>
      <c r="G31" s="46">
        <f>+GETPIVOTDATA("Sum of "&amp;T(Transactions!$M$19),Pivot!$A$3,"Customer","OMPA")</f>
        <v>-163.43755351538618</v>
      </c>
      <c r="H31" s="46">
        <f>GETPIVOTDATA("Sum of "&amp;T(Transactions!$Q$19),Pivot!$A$3,"Customer",C31)</f>
        <v>0</v>
      </c>
      <c r="I31" s="57">
        <f t="shared" si="0"/>
        <v>-2445.791952192089</v>
      </c>
      <c r="J31" s="54"/>
    </row>
    <row r="32" spans="2:17" x14ac:dyDescent="0.2">
      <c r="B32" s="54"/>
      <c r="C32" s="55" t="s">
        <v>56</v>
      </c>
      <c r="D32" s="56">
        <f>GETPIVOTDATA("Sum of "&amp;T(Transactions!$J$19),Pivot!$A$3,"Customer",C32)</f>
        <v>782.16264743863917</v>
      </c>
      <c r="E32" s="56">
        <f>GETPIVOTDATA("Sum of "&amp;T(Transactions!$K$19),Pivot!$A$3,"Customer",C32)</f>
        <v>1015.7315504458441</v>
      </c>
      <c r="F32" s="56">
        <f t="shared" si="1"/>
        <v>-233.56890300720488</v>
      </c>
      <c r="G32" s="46">
        <f>+GETPIVOTDATA("Sum of "&amp;T(Transactions!$M$19),Pivot!$A$3,"Customer","Prescott, AR")</f>
        <v>-16.725680335579405</v>
      </c>
      <c r="H32" s="46">
        <f>GETPIVOTDATA("Sum of "&amp;T(Transactions!$Q$19),Pivot!$A$3,"Customer",C32)</f>
        <v>0</v>
      </c>
      <c r="I32" s="57">
        <f t="shared" si="0"/>
        <v>-250.29458334278428</v>
      </c>
      <c r="J32" s="54"/>
    </row>
    <row r="33" spans="2:11" x14ac:dyDescent="0.2">
      <c r="B33" s="54"/>
      <c r="C33" s="60" t="s">
        <v>9</v>
      </c>
      <c r="D33" s="56">
        <f>GETPIVOTDATA("Sum of "&amp;T(Transactions!$J$19),Pivot!$A$3,"Customer",C33)</f>
        <v>3990.8771302380956</v>
      </c>
      <c r="E33" s="56">
        <f>GETPIVOTDATA("Sum of "&amp;T(Transactions!$K$19),Pivot!$A$3,"Customer",C33)</f>
        <v>5182.6302731409996</v>
      </c>
      <c r="F33" s="56">
        <f t="shared" si="1"/>
        <v>-1191.7531429029041</v>
      </c>
      <c r="G33" s="46">
        <f>+GETPIVOTDATA("Sum of "&amp;T(Transactions!$M$19),Pivot!$A$3,"Customer","WFEC")</f>
        <v>-85.34047919256264</v>
      </c>
      <c r="H33" s="46">
        <f>GETPIVOTDATA("Sum of "&amp;T(Transactions!$Q$19),Pivot!$A$3,"Customer",C33)</f>
        <v>0</v>
      </c>
      <c r="I33" s="57">
        <f t="shared" si="0"/>
        <v>-1277.0936220954668</v>
      </c>
      <c r="J33" s="54"/>
    </row>
    <row r="34" spans="2:11" ht="24" x14ac:dyDescent="0.2">
      <c r="C34" s="61" t="s">
        <v>43</v>
      </c>
      <c r="D34" s="62">
        <f t="shared" ref="D34:I34" si="2">SUM(D21:D33)</f>
        <v>173079.66048006364</v>
      </c>
      <c r="E34" s="62">
        <f t="shared" si="2"/>
        <v>224764.59655259491</v>
      </c>
      <c r="F34" s="62">
        <f t="shared" si="2"/>
        <v>-51684.936072531345</v>
      </c>
      <c r="G34" s="63">
        <f t="shared" si="2"/>
        <v>-3701.1164918959689</v>
      </c>
      <c r="H34" s="63">
        <f t="shared" si="2"/>
        <v>0</v>
      </c>
      <c r="I34" s="64">
        <f t="shared" si="2"/>
        <v>-55386.052564427322</v>
      </c>
    </row>
    <row r="35" spans="2:11" x14ac:dyDescent="0.2">
      <c r="C35" s="65" t="s">
        <v>21</v>
      </c>
      <c r="D35" s="56">
        <f>GETPIVOTDATA("Sum of "&amp;T(Transactions!$J$19),Pivot!$A$3,"Customer",C35)</f>
        <v>239514.21542432031</v>
      </c>
      <c r="E35" s="56">
        <f>GETPIVOTDATA("Sum of "&amp;T(Transactions!$K$19),Pivot!$A$3,"Customer",C35)</f>
        <v>311037.79525069974</v>
      </c>
      <c r="F35" s="56">
        <f t="shared" si="1"/>
        <v>-71523.579826379428</v>
      </c>
      <c r="G35" s="46">
        <f>+GETPIVOTDATA("Sum of "&amp;T(Transactions!$M$19),Pivot!$A$3,"Customer","PSO")</f>
        <v>-5121.7457342573462</v>
      </c>
      <c r="H35" s="46">
        <f>GETPIVOTDATA("Sum of "&amp;T(Transactions!$Q$19),Pivot!$A$3,"Customer",C35)</f>
        <v>0</v>
      </c>
      <c r="I35" s="57">
        <f>F35+G35-H35</f>
        <v>-76645.325560636775</v>
      </c>
    </row>
    <row r="36" spans="2:11" x14ac:dyDescent="0.2">
      <c r="C36" s="66" t="s">
        <v>22</v>
      </c>
      <c r="D36" s="56">
        <f>GETPIVOTDATA("Sum of "&amp;T(Transactions!$J$19),Pivot!$A$3,"Customer",C36)</f>
        <v>228951.94030339696</v>
      </c>
      <c r="E36" s="56">
        <f>GETPIVOTDATA("Sum of "&amp;T(Transactions!$K$19),Pivot!$A$3,"Customer",C36)</f>
        <v>297321.42037656886</v>
      </c>
      <c r="F36" s="56">
        <f>D36-E36</f>
        <v>-68369.480073171901</v>
      </c>
      <c r="G36" s="46">
        <f>+GETPIVOTDATA("Sum of "&amp;T(Transactions!$M$19),Pivot!$A$3,"Customer","SWEPCO")</f>
        <v>-4895.8832005918466</v>
      </c>
      <c r="H36" s="46">
        <f>GETPIVOTDATA("Sum of "&amp;T(Transactions!$Q$19),Pivot!$A$3,"Customer",C36)</f>
        <v>0</v>
      </c>
      <c r="I36" s="57">
        <f>F36+G36-H36</f>
        <v>-73265.363273763753</v>
      </c>
    </row>
    <row r="37" spans="2:11" x14ac:dyDescent="0.2">
      <c r="C37" s="67" t="s">
        <v>82</v>
      </c>
      <c r="D37" s="56">
        <f>GETPIVOTDATA("Sum of "&amp;T(Transactions!$J$19),Pivot!$A$3,"Customer",C37)</f>
        <v>10500.687510888816</v>
      </c>
      <c r="E37" s="56">
        <f>GETPIVOTDATA("Sum of "&amp;T(Transactions!$K$19),Pivot!$A$3,"Customer",C37)</f>
        <v>13636.396011891055</v>
      </c>
      <c r="F37" s="56">
        <f>D37-E37</f>
        <v>-3135.7085010022383</v>
      </c>
      <c r="G37" s="46">
        <f>+GETPIVOTDATA("Sum of "&amp;T(Transactions!$M$19),Pivot!$A$3,"Customer","SWEPCO-Valley")</f>
        <v>-224.54555096191248</v>
      </c>
      <c r="H37" s="46">
        <f>GETPIVOTDATA("Sum of "&amp;T(Transactions!$Q$19),Pivot!$A$3,"Customer",C37)</f>
        <v>0</v>
      </c>
      <c r="I37" s="57">
        <f>F37+G37-H37</f>
        <v>-3360.2540519641507</v>
      </c>
    </row>
    <row r="38" spans="2:11" ht="24" x14ac:dyDescent="0.2">
      <c r="C38" s="68" t="s">
        <v>52</v>
      </c>
      <c r="D38" s="69">
        <f t="shared" ref="D38:I38" si="3">SUM(D35:D37)</f>
        <v>478966.84323860606</v>
      </c>
      <c r="E38" s="69">
        <f t="shared" si="3"/>
        <v>621995.61163915973</v>
      </c>
      <c r="F38" s="69">
        <f t="shared" si="3"/>
        <v>-143028.76840055356</v>
      </c>
      <c r="G38" s="70">
        <f t="shared" si="3"/>
        <v>-10242.174485811105</v>
      </c>
      <c r="H38" s="70">
        <f t="shared" si="3"/>
        <v>0</v>
      </c>
      <c r="I38" s="71">
        <f t="shared" si="3"/>
        <v>-153270.94288636468</v>
      </c>
    </row>
    <row r="39" spans="2:11" ht="23.25" customHeight="1" thickBot="1" x14ac:dyDescent="0.25">
      <c r="C39" s="72" t="s">
        <v>44</v>
      </c>
      <c r="D39" s="73">
        <f t="shared" ref="D39:I39" si="4">SUM(D34,D38)</f>
        <v>652046.50371866976</v>
      </c>
      <c r="E39" s="74">
        <f t="shared" si="4"/>
        <v>846760.20819175465</v>
      </c>
      <c r="F39" s="73">
        <f t="shared" si="4"/>
        <v>-194713.70447308489</v>
      </c>
      <c r="G39" s="74">
        <f t="shared" si="4"/>
        <v>-13943.290977707074</v>
      </c>
      <c r="H39" s="74">
        <f t="shared" si="4"/>
        <v>0</v>
      </c>
      <c r="I39" s="75">
        <f t="shared" si="4"/>
        <v>-208656.99545079199</v>
      </c>
      <c r="K39" s="76"/>
    </row>
    <row r="41" spans="2:11" x14ac:dyDescent="0.2">
      <c r="C41" s="1"/>
      <c r="D41" s="76"/>
      <c r="E41" s="76"/>
      <c r="F41" s="76"/>
      <c r="G41" s="76"/>
      <c r="H41" s="76"/>
      <c r="I41" s="76"/>
    </row>
    <row r="42" spans="2:11" x14ac:dyDescent="0.2">
      <c r="C42" s="1"/>
    </row>
    <row r="43" spans="2:11" x14ac:dyDescent="0.2">
      <c r="C43" s="1"/>
      <c r="D43" s="76"/>
      <c r="E43" s="76"/>
      <c r="F43" s="76"/>
      <c r="G43" s="76"/>
      <c r="H43" s="76"/>
      <c r="I43" s="76"/>
    </row>
    <row r="44" spans="2:11" x14ac:dyDescent="0.2">
      <c r="D44" s="76"/>
      <c r="E44" s="76"/>
      <c r="F44" s="76"/>
      <c r="G44" s="76"/>
      <c r="H44" s="76"/>
      <c r="I44" s="76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63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C53" activePane="bottomRight" state="frozen"/>
      <selection pane="topRight" activeCell="C1" sqref="C1"/>
      <selection pane="bottomLeft" activeCell="A5" sqref="A5"/>
      <selection pane="bottomRight" activeCell="I106" sqref="I106"/>
    </sheetView>
  </sheetViews>
  <sheetFormatPr defaultColWidth="8.7109375" defaultRowHeight="12.75" x14ac:dyDescent="0.2"/>
  <cols>
    <col min="1" max="1" width="19.140625" customWidth="1"/>
    <col min="2" max="2" width="27.85546875" bestFit="1" customWidth="1"/>
    <col min="3" max="14" width="14.85546875" bestFit="1" customWidth="1"/>
    <col min="15" max="15" width="10.42578125" bestFit="1" customWidth="1"/>
  </cols>
  <sheetData>
    <row r="3" spans="1:15" x14ac:dyDescent="0.2">
      <c r="A3" s="194"/>
      <c r="B3" s="195"/>
      <c r="C3" s="196" t="s">
        <v>54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7"/>
    </row>
    <row r="4" spans="1:15" x14ac:dyDescent="0.2">
      <c r="A4" s="196" t="s">
        <v>0</v>
      </c>
      <c r="B4" s="196" t="s">
        <v>24</v>
      </c>
      <c r="C4" s="198">
        <v>45658</v>
      </c>
      <c r="D4" s="199">
        <v>45689</v>
      </c>
      <c r="E4" s="199">
        <v>45717</v>
      </c>
      <c r="F4" s="199">
        <v>45748</v>
      </c>
      <c r="G4" s="199">
        <v>45778</v>
      </c>
      <c r="H4" s="199">
        <v>45809</v>
      </c>
      <c r="I4" s="199">
        <v>45839</v>
      </c>
      <c r="J4" s="199">
        <v>45870</v>
      </c>
      <c r="K4" s="199">
        <v>45901</v>
      </c>
      <c r="L4" s="199">
        <v>45931</v>
      </c>
      <c r="M4" s="199">
        <v>45962</v>
      </c>
      <c r="N4" s="199">
        <v>45992</v>
      </c>
      <c r="O4" s="200" t="s">
        <v>18</v>
      </c>
    </row>
    <row r="5" spans="1:15" x14ac:dyDescent="0.2">
      <c r="A5" s="194" t="s">
        <v>14</v>
      </c>
      <c r="B5" s="194" t="s">
        <v>71</v>
      </c>
      <c r="C5" s="201">
        <v>5949.3631293364206</v>
      </c>
      <c r="D5" s="202">
        <v>6786.9546258061446</v>
      </c>
      <c r="E5" s="202">
        <v>4403.5141174695036</v>
      </c>
      <c r="F5" s="202">
        <v>3578.240143006688</v>
      </c>
      <c r="G5" s="202">
        <v>4809.9923436974577</v>
      </c>
      <c r="H5" s="202">
        <v>5518.2498590946507</v>
      </c>
      <c r="I5" s="202">
        <v>6331.2063115505598</v>
      </c>
      <c r="J5" s="202">
        <v>6497.4928586438136</v>
      </c>
      <c r="K5" s="202">
        <v>5019.3902178148892</v>
      </c>
      <c r="L5" s="202">
        <v>4545.1656205489426</v>
      </c>
      <c r="M5" s="202">
        <v>4348.085268438419</v>
      </c>
      <c r="N5" s="202">
        <v>5315.0107459806741</v>
      </c>
      <c r="O5" s="203">
        <v>63102.665241388153</v>
      </c>
    </row>
    <row r="6" spans="1:15" x14ac:dyDescent="0.2">
      <c r="A6" s="204"/>
      <c r="B6" s="205" t="s">
        <v>25</v>
      </c>
      <c r="C6" s="206">
        <v>-1776.5949630311798</v>
      </c>
      <c r="D6" s="207">
        <v>-2026.7159930231473</v>
      </c>
      <c r="E6" s="207">
        <v>-1314.9745326783586</v>
      </c>
      <c r="F6" s="207">
        <v>-1068.5317531274491</v>
      </c>
      <c r="G6" s="207">
        <v>-1436.3567972332839</v>
      </c>
      <c r="H6" s="207">
        <v>-1647.8561975941384</v>
      </c>
      <c r="I6" s="207">
        <v>-1890.620726703989</v>
      </c>
      <c r="J6" s="207">
        <v>-1940.2771076582767</v>
      </c>
      <c r="K6" s="207">
        <v>-1498.8870547312754</v>
      </c>
      <c r="L6" s="207">
        <v>-1357.2744127505284</v>
      </c>
      <c r="M6" s="207">
        <v>-1298.4224056935955</v>
      </c>
      <c r="N6" s="207">
        <v>-1587.1650653166753</v>
      </c>
      <c r="O6" s="208">
        <v>-18843.677009541901</v>
      </c>
    </row>
    <row r="7" spans="1:15" x14ac:dyDescent="0.2">
      <c r="A7" s="204"/>
      <c r="B7" s="205" t="s">
        <v>26</v>
      </c>
      <c r="C7" s="206">
        <v>-127.22052916669061</v>
      </c>
      <c r="D7" s="207">
        <v>-145.13149393550003</v>
      </c>
      <c r="E7" s="207">
        <v>-94.164263306608461</v>
      </c>
      <c r="F7" s="207">
        <v>-76.516695078516804</v>
      </c>
      <c r="G7" s="207">
        <v>-102.8563491502954</v>
      </c>
      <c r="H7" s="207">
        <v>-118.00165024156809</v>
      </c>
      <c r="I7" s="207">
        <v>-135.38582192894197</v>
      </c>
      <c r="J7" s="207">
        <v>-138.94167522863208</v>
      </c>
      <c r="K7" s="207">
        <v>-107.33409034249776</v>
      </c>
      <c r="L7" s="207">
        <v>-97.193323524863004</v>
      </c>
      <c r="M7" s="207">
        <v>-92.978978873378438</v>
      </c>
      <c r="N7" s="207">
        <v>-113.65560731972461</v>
      </c>
      <c r="O7" s="208">
        <v>-1349.3804780972173</v>
      </c>
    </row>
    <row r="8" spans="1:15" x14ac:dyDescent="0.2">
      <c r="A8" s="204"/>
      <c r="B8" s="205" t="s">
        <v>27</v>
      </c>
      <c r="C8" s="206">
        <v>-1903.8154921978703</v>
      </c>
      <c r="D8" s="207">
        <v>-2171.8474869586476</v>
      </c>
      <c r="E8" s="207">
        <v>-1409.1387959849671</v>
      </c>
      <c r="F8" s="207">
        <v>-1145.0484482059658</v>
      </c>
      <c r="G8" s="207">
        <v>-1539.2131463835794</v>
      </c>
      <c r="H8" s="207">
        <v>-1765.8578478357065</v>
      </c>
      <c r="I8" s="207">
        <v>-2026.0065486329311</v>
      </c>
      <c r="J8" s="207">
        <v>-2079.2187828869087</v>
      </c>
      <c r="K8" s="207">
        <v>-1606.2211450737732</v>
      </c>
      <c r="L8" s="207">
        <v>-1454.4677362753914</v>
      </c>
      <c r="M8" s="207">
        <v>-1391.401384566974</v>
      </c>
      <c r="N8" s="207">
        <v>-1700.8206726363999</v>
      </c>
      <c r="O8" s="208">
        <v>-20193.057487639111</v>
      </c>
    </row>
    <row r="9" spans="1:15" x14ac:dyDescent="0.2">
      <c r="A9" s="204"/>
      <c r="B9" s="205" t="s">
        <v>50</v>
      </c>
      <c r="C9" s="209">
        <v>7725.9580923676003</v>
      </c>
      <c r="D9" s="77">
        <v>8813.6706188292919</v>
      </c>
      <c r="E9" s="77">
        <v>5718.4886501478622</v>
      </c>
      <c r="F9" s="77">
        <v>4646.771896134137</v>
      </c>
      <c r="G9" s="77">
        <v>6246.3491409307417</v>
      </c>
      <c r="H9" s="77">
        <v>7166.1060566887891</v>
      </c>
      <c r="I9" s="77">
        <v>8221.8270382545488</v>
      </c>
      <c r="J9" s="77">
        <v>8437.7699663020903</v>
      </c>
      <c r="K9" s="77">
        <v>6518.2772725461646</v>
      </c>
      <c r="L9" s="77">
        <v>5902.440033299471</v>
      </c>
      <c r="M9" s="77">
        <v>5646.5076741320145</v>
      </c>
      <c r="N9" s="77">
        <v>6902.1758112973494</v>
      </c>
      <c r="O9" s="210">
        <v>81946.342250930058</v>
      </c>
    </row>
    <row r="10" spans="1:15" x14ac:dyDescent="0.2">
      <c r="A10" s="204"/>
      <c r="B10" s="205" t="s">
        <v>90</v>
      </c>
      <c r="C10" s="209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210">
        <v>0</v>
      </c>
    </row>
    <row r="11" spans="1:15" x14ac:dyDescent="0.2">
      <c r="A11" s="204"/>
      <c r="B11" s="205" t="s">
        <v>92</v>
      </c>
      <c r="C11" s="209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210">
        <v>0</v>
      </c>
    </row>
    <row r="12" spans="1:15" x14ac:dyDescent="0.2">
      <c r="A12" s="194" t="s">
        <v>17</v>
      </c>
      <c r="B12" s="194" t="s">
        <v>71</v>
      </c>
      <c r="C12" s="201">
        <v>652.82866636610822</v>
      </c>
      <c r="D12" s="202">
        <v>628.19362235229289</v>
      </c>
      <c r="E12" s="202">
        <v>615.87610034538511</v>
      </c>
      <c r="F12" s="202">
        <v>369.52566020723111</v>
      </c>
      <c r="G12" s="202">
        <v>591.24105633156978</v>
      </c>
      <c r="H12" s="202">
        <v>732.89255941100839</v>
      </c>
      <c r="I12" s="202">
        <v>726.73379840755445</v>
      </c>
      <c r="J12" s="202">
        <v>732.89255941100839</v>
      </c>
      <c r="K12" s="202">
        <v>622.03486134883906</v>
      </c>
      <c r="L12" s="202">
        <v>652.82866636610822</v>
      </c>
      <c r="M12" s="202">
        <v>215.55663512088481</v>
      </c>
      <c r="N12" s="202">
        <v>634.35238335574672</v>
      </c>
      <c r="O12" s="203">
        <v>7174.9565690237378</v>
      </c>
    </row>
    <row r="13" spans="1:15" x14ac:dyDescent="0.2">
      <c r="A13" s="204"/>
      <c r="B13" s="205" t="s">
        <v>25</v>
      </c>
      <c r="C13" s="206">
        <v>-194.94727337609231</v>
      </c>
      <c r="D13" s="207">
        <v>-187.59077249397546</v>
      </c>
      <c r="E13" s="207">
        <v>-183.91252205291721</v>
      </c>
      <c r="F13" s="207">
        <v>-110.34751323175033</v>
      </c>
      <c r="G13" s="207">
        <v>-176.55602117080048</v>
      </c>
      <c r="H13" s="207">
        <v>-218.85590124297141</v>
      </c>
      <c r="I13" s="207">
        <v>-217.01677602244229</v>
      </c>
      <c r="J13" s="207">
        <v>-218.85590124297141</v>
      </c>
      <c r="K13" s="207">
        <v>-185.75164727344634</v>
      </c>
      <c r="L13" s="207">
        <v>-194.94727337609231</v>
      </c>
      <c r="M13" s="207">
        <v>-64.369382718520995</v>
      </c>
      <c r="N13" s="207">
        <v>-189.4298977145047</v>
      </c>
      <c r="O13" s="208">
        <v>-2142.5808819164849</v>
      </c>
    </row>
    <row r="14" spans="1:15" x14ac:dyDescent="0.2">
      <c r="A14" s="204"/>
      <c r="B14" s="205" t="s">
        <v>26</v>
      </c>
      <c r="C14" s="206">
        <v>-13.960016658042655</v>
      </c>
      <c r="D14" s="207">
        <v>-13.433223576607082</v>
      </c>
      <c r="E14" s="207">
        <v>-13.169827035889297</v>
      </c>
      <c r="F14" s="207">
        <v>-7.9018962215335771</v>
      </c>
      <c r="G14" s="207">
        <v>-12.643033954453726</v>
      </c>
      <c r="H14" s="207">
        <v>-15.672094172708261</v>
      </c>
      <c r="I14" s="207">
        <v>-15.540395902349371</v>
      </c>
      <c r="J14" s="207">
        <v>-15.672094172708261</v>
      </c>
      <c r="K14" s="207">
        <v>-13.301525306248189</v>
      </c>
      <c r="L14" s="207">
        <v>-13.960016658042655</v>
      </c>
      <c r="M14" s="207">
        <v>-4.6094394625612534</v>
      </c>
      <c r="N14" s="207">
        <v>-13.564921846965975</v>
      </c>
      <c r="O14" s="208">
        <v>-153.4284849681103</v>
      </c>
    </row>
    <row r="15" spans="1:15" x14ac:dyDescent="0.2">
      <c r="A15" s="204"/>
      <c r="B15" s="205" t="s">
        <v>27</v>
      </c>
      <c r="C15" s="206">
        <v>-208.90729003413497</v>
      </c>
      <c r="D15" s="207">
        <v>-201.02399607058254</v>
      </c>
      <c r="E15" s="207">
        <v>-197.0823490888065</v>
      </c>
      <c r="F15" s="207">
        <v>-118.2494094532839</v>
      </c>
      <c r="G15" s="207">
        <v>-189.1990551252542</v>
      </c>
      <c r="H15" s="207">
        <v>-234.52799541567967</v>
      </c>
      <c r="I15" s="207">
        <v>-232.55717192479165</v>
      </c>
      <c r="J15" s="207">
        <v>-234.52799541567967</v>
      </c>
      <c r="K15" s="207">
        <v>-199.05317257969452</v>
      </c>
      <c r="L15" s="207">
        <v>-208.90729003413497</v>
      </c>
      <c r="M15" s="207">
        <v>-68.978822181082251</v>
      </c>
      <c r="N15" s="207">
        <v>-202.99481956147068</v>
      </c>
      <c r="O15" s="208">
        <v>-2296.0093668845957</v>
      </c>
    </row>
    <row r="16" spans="1:15" x14ac:dyDescent="0.2">
      <c r="A16" s="204"/>
      <c r="B16" s="205" t="s">
        <v>50</v>
      </c>
      <c r="C16" s="209">
        <v>847.77593974220053</v>
      </c>
      <c r="D16" s="77">
        <v>815.78439484626836</v>
      </c>
      <c r="E16" s="77">
        <v>799.78862239830232</v>
      </c>
      <c r="F16" s="77">
        <v>479.87317343898144</v>
      </c>
      <c r="G16" s="77">
        <v>767.79707750237026</v>
      </c>
      <c r="H16" s="77">
        <v>951.74846065397981</v>
      </c>
      <c r="I16" s="77">
        <v>943.75057442999673</v>
      </c>
      <c r="J16" s="77">
        <v>951.74846065397981</v>
      </c>
      <c r="K16" s="77">
        <v>807.7865086222854</v>
      </c>
      <c r="L16" s="77">
        <v>847.77593974220053</v>
      </c>
      <c r="M16" s="77">
        <v>279.9260178394058</v>
      </c>
      <c r="N16" s="77">
        <v>823.78228107025143</v>
      </c>
      <c r="O16" s="210">
        <v>9317.5374509402227</v>
      </c>
    </row>
    <row r="17" spans="1:15" x14ac:dyDescent="0.2">
      <c r="A17" s="204"/>
      <c r="B17" s="205" t="s">
        <v>90</v>
      </c>
      <c r="C17" s="209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210">
        <v>0</v>
      </c>
    </row>
    <row r="18" spans="1:15" x14ac:dyDescent="0.2">
      <c r="A18" s="204"/>
      <c r="B18" s="205" t="s">
        <v>92</v>
      </c>
      <c r="C18" s="209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210">
        <v>0</v>
      </c>
    </row>
    <row r="19" spans="1:15" x14ac:dyDescent="0.2">
      <c r="A19" s="194" t="s">
        <v>13</v>
      </c>
      <c r="B19" s="194" t="s">
        <v>71</v>
      </c>
      <c r="C19" s="201">
        <v>8098.7707195418152</v>
      </c>
      <c r="D19" s="202">
        <v>8480.6139017559544</v>
      </c>
      <c r="E19" s="202">
        <v>4871.5799537319963</v>
      </c>
      <c r="F19" s="202">
        <v>3713.7328850826725</v>
      </c>
      <c r="G19" s="202">
        <v>4545.1656205489426</v>
      </c>
      <c r="H19" s="202">
        <v>5228.7880919323197</v>
      </c>
      <c r="I19" s="202">
        <v>6023.268261377867</v>
      </c>
      <c r="J19" s="202">
        <v>6158.761003453852</v>
      </c>
      <c r="K19" s="202">
        <v>5197.9942869150509</v>
      </c>
      <c r="L19" s="202">
        <v>4680.6583626249276</v>
      </c>
      <c r="M19" s="202">
        <v>4606.7532305834811</v>
      </c>
      <c r="N19" s="202">
        <v>6589.874273695621</v>
      </c>
      <c r="O19" s="203">
        <v>68195.960591244497</v>
      </c>
    </row>
    <row r="20" spans="1:15" x14ac:dyDescent="0.2">
      <c r="A20" s="204"/>
      <c r="B20" s="205" t="s">
        <v>25</v>
      </c>
      <c r="C20" s="206">
        <v>-2418.4496649958601</v>
      </c>
      <c r="D20" s="207">
        <v>-2532.4754286686693</v>
      </c>
      <c r="E20" s="207">
        <v>-1454.7480494385754</v>
      </c>
      <c r="F20" s="207">
        <v>-1108.992507979091</v>
      </c>
      <c r="G20" s="207">
        <v>-1357.2744127505284</v>
      </c>
      <c r="H20" s="207">
        <v>-1561.4173122292668</v>
      </c>
      <c r="I20" s="207">
        <v>-1798.6644656775297</v>
      </c>
      <c r="J20" s="207">
        <v>-1839.1252205291712</v>
      </c>
      <c r="K20" s="207">
        <v>-1552.2216861266206</v>
      </c>
      <c r="L20" s="207">
        <v>-1397.7351676021699</v>
      </c>
      <c r="M20" s="207">
        <v>-1375.6656649558208</v>
      </c>
      <c r="N20" s="207">
        <v>-1967.8639859662144</v>
      </c>
      <c r="O20" s="208">
        <v>-20364.633566919518</v>
      </c>
    </row>
    <row r="21" spans="1:15" x14ac:dyDescent="0.2">
      <c r="A21" s="204"/>
      <c r="B21" s="205" t="s">
        <v>26</v>
      </c>
      <c r="C21" s="206">
        <v>-173.18322552194425</v>
      </c>
      <c r="D21" s="207">
        <v>-181.34851828419559</v>
      </c>
      <c r="E21" s="207">
        <v>-104.17333185388433</v>
      </c>
      <c r="F21" s="207">
        <v>-79.414057026412451</v>
      </c>
      <c r="G21" s="207">
        <v>-97.193323524863004</v>
      </c>
      <c r="H21" s="207">
        <v>-111.81183153470012</v>
      </c>
      <c r="I21" s="207">
        <v>-128.80090841099732</v>
      </c>
      <c r="J21" s="207">
        <v>-131.69827035889296</v>
      </c>
      <c r="K21" s="207">
        <v>-111.15334018290567</v>
      </c>
      <c r="L21" s="207">
        <v>-100.09068547275865</v>
      </c>
      <c r="M21" s="207">
        <v>-98.510306228451938</v>
      </c>
      <c r="N21" s="207">
        <v>-140.91714928401547</v>
      </c>
      <c r="O21" s="208">
        <v>-1458.2949476840217</v>
      </c>
    </row>
    <row r="22" spans="1:15" x14ac:dyDescent="0.2">
      <c r="A22" s="204"/>
      <c r="B22" s="205" t="s">
        <v>27</v>
      </c>
      <c r="C22" s="206">
        <v>-2591.6328905178043</v>
      </c>
      <c r="D22" s="207">
        <v>-2713.8239469528648</v>
      </c>
      <c r="E22" s="207">
        <v>-1558.9213812924597</v>
      </c>
      <c r="F22" s="207">
        <v>-1188.4065650055034</v>
      </c>
      <c r="G22" s="207">
        <v>-1454.4677362753914</v>
      </c>
      <c r="H22" s="207">
        <v>-1673.2291437639669</v>
      </c>
      <c r="I22" s="207">
        <v>-1927.4653740885271</v>
      </c>
      <c r="J22" s="207">
        <v>-1970.823490888064</v>
      </c>
      <c r="K22" s="207">
        <v>-1663.3750263095262</v>
      </c>
      <c r="L22" s="207">
        <v>-1497.8258530749285</v>
      </c>
      <c r="M22" s="207">
        <v>-1474.1759711842728</v>
      </c>
      <c r="N22" s="207">
        <v>-2108.7811352502299</v>
      </c>
      <c r="O22" s="208">
        <v>-21822.92851460354</v>
      </c>
    </row>
    <row r="23" spans="1:15" x14ac:dyDescent="0.2">
      <c r="A23" s="204"/>
      <c r="B23" s="205" t="s">
        <v>50</v>
      </c>
      <c r="C23" s="209">
        <v>10517.220384537675</v>
      </c>
      <c r="D23" s="77">
        <v>11013.089330424624</v>
      </c>
      <c r="E23" s="77">
        <v>6326.3280031705717</v>
      </c>
      <c r="F23" s="77">
        <v>4822.7253930617635</v>
      </c>
      <c r="G23" s="77">
        <v>5902.440033299471</v>
      </c>
      <c r="H23" s="77">
        <v>6790.2054041615866</v>
      </c>
      <c r="I23" s="77">
        <v>7821.9327270553968</v>
      </c>
      <c r="J23" s="77">
        <v>7997.8862239830232</v>
      </c>
      <c r="K23" s="77">
        <v>6750.2159730416715</v>
      </c>
      <c r="L23" s="77">
        <v>6078.3935302270975</v>
      </c>
      <c r="M23" s="77">
        <v>5982.418895539302</v>
      </c>
      <c r="N23" s="77">
        <v>8557.7382596618354</v>
      </c>
      <c r="O23" s="210">
        <v>88560.594158164036</v>
      </c>
    </row>
    <row r="24" spans="1:15" x14ac:dyDescent="0.2">
      <c r="A24" s="204"/>
      <c r="B24" s="205" t="s">
        <v>90</v>
      </c>
      <c r="C24" s="209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210">
        <v>0</v>
      </c>
    </row>
    <row r="25" spans="1:15" x14ac:dyDescent="0.2">
      <c r="A25" s="204"/>
      <c r="B25" s="205" t="s">
        <v>92</v>
      </c>
      <c r="C25" s="209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210">
        <v>0</v>
      </c>
    </row>
    <row r="26" spans="1:15" x14ac:dyDescent="0.2">
      <c r="A26" s="194" t="s">
        <v>15</v>
      </c>
      <c r="B26" s="194" t="s">
        <v>71</v>
      </c>
      <c r="C26" s="201">
        <v>43.111327024176958</v>
      </c>
      <c r="D26" s="202">
        <v>49.270088027630813</v>
      </c>
      <c r="E26" s="202">
        <v>43.111327024176958</v>
      </c>
      <c r="F26" s="202">
        <v>18.476283010361556</v>
      </c>
      <c r="G26" s="202">
        <v>30.793805017269257</v>
      </c>
      <c r="H26" s="202">
        <v>61.587610034538514</v>
      </c>
      <c r="I26" s="202">
        <v>104.69893705871547</v>
      </c>
      <c r="J26" s="202">
        <v>98.540176055261625</v>
      </c>
      <c r="K26" s="202">
        <v>49.270088027630813</v>
      </c>
      <c r="L26" s="202">
        <v>49.270088027630813</v>
      </c>
      <c r="M26" s="202">
        <v>36.952566020723111</v>
      </c>
      <c r="N26" s="202">
        <v>43.111327024176958</v>
      </c>
      <c r="O26" s="203">
        <v>628.19362235229278</v>
      </c>
    </row>
    <row r="27" spans="1:15" x14ac:dyDescent="0.2">
      <c r="A27" s="204"/>
      <c r="B27" s="205" t="s">
        <v>25</v>
      </c>
      <c r="C27" s="206">
        <v>-12.873876543704206</v>
      </c>
      <c r="D27" s="207">
        <v>-14.713001764233375</v>
      </c>
      <c r="E27" s="207">
        <v>-12.873876543704206</v>
      </c>
      <c r="F27" s="207">
        <v>-5.5173756615875149</v>
      </c>
      <c r="G27" s="207">
        <v>-9.1956261026458606</v>
      </c>
      <c r="H27" s="207">
        <v>-18.391252205291721</v>
      </c>
      <c r="I27" s="207">
        <v>-31.26512874899592</v>
      </c>
      <c r="J27" s="207">
        <v>-29.426003528466751</v>
      </c>
      <c r="K27" s="207">
        <v>-14.713001764233375</v>
      </c>
      <c r="L27" s="207">
        <v>-14.713001764233375</v>
      </c>
      <c r="M27" s="207">
        <v>-11.03475132317503</v>
      </c>
      <c r="N27" s="207">
        <v>-12.873876543704206</v>
      </c>
      <c r="O27" s="208">
        <v>-187.59077249397555</v>
      </c>
    </row>
    <row r="28" spans="1:15" x14ac:dyDescent="0.2">
      <c r="A28" s="204"/>
      <c r="B28" s="205" t="s">
        <v>26</v>
      </c>
      <c r="C28" s="206">
        <v>-0.92188789251225067</v>
      </c>
      <c r="D28" s="207">
        <v>-1.0535861628711436</v>
      </c>
      <c r="E28" s="207">
        <v>-0.92188789251225067</v>
      </c>
      <c r="F28" s="207">
        <v>-0.39509481107667893</v>
      </c>
      <c r="G28" s="207">
        <v>-0.65849135179446472</v>
      </c>
      <c r="H28" s="207">
        <v>-1.3169827035889294</v>
      </c>
      <c r="I28" s="207">
        <v>-2.2388705961011803</v>
      </c>
      <c r="J28" s="207">
        <v>-2.1071723257422872</v>
      </c>
      <c r="K28" s="207">
        <v>-1.0535861628711436</v>
      </c>
      <c r="L28" s="207">
        <v>-1.0535861628711436</v>
      </c>
      <c r="M28" s="207">
        <v>-0.79018962215335786</v>
      </c>
      <c r="N28" s="207">
        <v>-0.92188789251225067</v>
      </c>
      <c r="O28" s="208">
        <v>-13.43322357660708</v>
      </c>
    </row>
    <row r="29" spans="1:15" x14ac:dyDescent="0.2">
      <c r="A29" s="204"/>
      <c r="B29" s="205" t="s">
        <v>27</v>
      </c>
      <c r="C29" s="206">
        <v>-13.795764436216457</v>
      </c>
      <c r="D29" s="207">
        <v>-15.766587927104519</v>
      </c>
      <c r="E29" s="207">
        <v>-13.795764436216457</v>
      </c>
      <c r="F29" s="207">
        <v>-5.9124704726641939</v>
      </c>
      <c r="G29" s="207">
        <v>-9.8541174544403258</v>
      </c>
      <c r="H29" s="207">
        <v>-19.708234908880652</v>
      </c>
      <c r="I29" s="207">
        <v>-33.5039993450971</v>
      </c>
      <c r="J29" s="207">
        <v>-31.533175854209038</v>
      </c>
      <c r="K29" s="207">
        <v>-15.766587927104519</v>
      </c>
      <c r="L29" s="207">
        <v>-15.766587927104519</v>
      </c>
      <c r="M29" s="207">
        <v>-11.824940945328388</v>
      </c>
      <c r="N29" s="207">
        <v>-13.795764436216457</v>
      </c>
      <c r="O29" s="208">
        <v>-201.02399607058263</v>
      </c>
    </row>
    <row r="30" spans="1:15" x14ac:dyDescent="0.2">
      <c r="A30" s="204"/>
      <c r="B30" s="205" t="s">
        <v>50</v>
      </c>
      <c r="C30" s="209">
        <v>55.985203567881165</v>
      </c>
      <c r="D30" s="77">
        <v>63.983089791864188</v>
      </c>
      <c r="E30" s="77">
        <v>55.985203567881165</v>
      </c>
      <c r="F30" s="77">
        <v>23.993658671949071</v>
      </c>
      <c r="G30" s="77">
        <v>39.989431119915118</v>
      </c>
      <c r="H30" s="77">
        <v>79.978862239830235</v>
      </c>
      <c r="I30" s="77">
        <v>135.96406580771139</v>
      </c>
      <c r="J30" s="77">
        <v>127.96617958372838</v>
      </c>
      <c r="K30" s="77">
        <v>63.983089791864188</v>
      </c>
      <c r="L30" s="77">
        <v>63.983089791864188</v>
      </c>
      <c r="M30" s="77">
        <v>47.987317343898141</v>
      </c>
      <c r="N30" s="77">
        <v>55.985203567881165</v>
      </c>
      <c r="O30" s="210">
        <v>815.78439484626836</v>
      </c>
    </row>
    <row r="31" spans="1:15" x14ac:dyDescent="0.2">
      <c r="A31" s="204"/>
      <c r="B31" s="205" t="s">
        <v>90</v>
      </c>
      <c r="C31" s="209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210">
        <v>0</v>
      </c>
    </row>
    <row r="32" spans="1:15" x14ac:dyDescent="0.2">
      <c r="A32" s="204"/>
      <c r="B32" s="205" t="s">
        <v>92</v>
      </c>
      <c r="C32" s="209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210">
        <v>0</v>
      </c>
    </row>
    <row r="33" spans="1:15" x14ac:dyDescent="0.2">
      <c r="A33" s="194" t="s">
        <v>16</v>
      </c>
      <c r="B33" s="194" t="s">
        <v>71</v>
      </c>
      <c r="C33" s="201">
        <v>12.317522006907703</v>
      </c>
      <c r="D33" s="202">
        <v>18.476283010361556</v>
      </c>
      <c r="E33" s="202">
        <v>12.317522006907703</v>
      </c>
      <c r="F33" s="202">
        <v>6.1587610034538516</v>
      </c>
      <c r="G33" s="202">
        <v>12.317522006907703</v>
      </c>
      <c r="H33" s="202">
        <v>18.476283010361556</v>
      </c>
      <c r="I33" s="202">
        <v>43.111327024176958</v>
      </c>
      <c r="J33" s="202">
        <v>30.793805017269257</v>
      </c>
      <c r="K33" s="202">
        <v>12.317522006907703</v>
      </c>
      <c r="L33" s="202">
        <v>18.476283010361556</v>
      </c>
      <c r="M33" s="202">
        <v>6.1587610034538516</v>
      </c>
      <c r="N33" s="202">
        <v>12.317522006907703</v>
      </c>
      <c r="O33" s="203">
        <v>203.23911311397708</v>
      </c>
    </row>
    <row r="34" spans="1:15" x14ac:dyDescent="0.2">
      <c r="A34" s="204"/>
      <c r="B34" s="205" t="s">
        <v>25</v>
      </c>
      <c r="C34" s="206">
        <v>-3.6782504410583439</v>
      </c>
      <c r="D34" s="207">
        <v>-5.5173756615875149</v>
      </c>
      <c r="E34" s="207">
        <v>-3.6782504410583439</v>
      </c>
      <c r="F34" s="207">
        <v>-1.8391252205291719</v>
      </c>
      <c r="G34" s="207">
        <v>-3.6782504410583439</v>
      </c>
      <c r="H34" s="207">
        <v>-5.5173756615875149</v>
      </c>
      <c r="I34" s="207">
        <v>-12.873876543704206</v>
      </c>
      <c r="J34" s="207">
        <v>-9.1956261026458606</v>
      </c>
      <c r="K34" s="207">
        <v>-3.6782504410583439</v>
      </c>
      <c r="L34" s="207">
        <v>-5.5173756615875149</v>
      </c>
      <c r="M34" s="207">
        <v>-1.8391252205291719</v>
      </c>
      <c r="N34" s="207">
        <v>-3.6782504410583439</v>
      </c>
      <c r="O34" s="208">
        <v>-60.691132277462678</v>
      </c>
    </row>
    <row r="35" spans="1:15" x14ac:dyDescent="0.2">
      <c r="A35" s="204"/>
      <c r="B35" s="205" t="s">
        <v>26</v>
      </c>
      <c r="C35" s="206">
        <v>-0.2633965407177859</v>
      </c>
      <c r="D35" s="207">
        <v>-0.39509481107667893</v>
      </c>
      <c r="E35" s="207">
        <v>-0.2633965407177859</v>
      </c>
      <c r="F35" s="207">
        <v>-0.13169827035889295</v>
      </c>
      <c r="G35" s="207">
        <v>-0.2633965407177859</v>
      </c>
      <c r="H35" s="207">
        <v>-0.39509481107667893</v>
      </c>
      <c r="I35" s="207">
        <v>-0.92188789251225067</v>
      </c>
      <c r="J35" s="207">
        <v>-0.65849135179446472</v>
      </c>
      <c r="K35" s="207">
        <v>-0.2633965407177859</v>
      </c>
      <c r="L35" s="207">
        <v>-0.39509481107667893</v>
      </c>
      <c r="M35" s="207">
        <v>-0.13169827035889295</v>
      </c>
      <c r="N35" s="207">
        <v>-0.2633965407177859</v>
      </c>
      <c r="O35" s="208">
        <v>-4.346042921843468</v>
      </c>
    </row>
    <row r="36" spans="1:15" x14ac:dyDescent="0.2">
      <c r="A36" s="204"/>
      <c r="B36" s="205" t="s">
        <v>27</v>
      </c>
      <c r="C36" s="206">
        <v>-3.9416469817761297</v>
      </c>
      <c r="D36" s="207">
        <v>-5.9124704726641939</v>
      </c>
      <c r="E36" s="207">
        <v>-3.9416469817761297</v>
      </c>
      <c r="F36" s="207">
        <v>-1.9708234908880649</v>
      </c>
      <c r="G36" s="207">
        <v>-3.9416469817761297</v>
      </c>
      <c r="H36" s="207">
        <v>-5.9124704726641939</v>
      </c>
      <c r="I36" s="207">
        <v>-13.795764436216457</v>
      </c>
      <c r="J36" s="207">
        <v>-9.8541174544403258</v>
      </c>
      <c r="K36" s="207">
        <v>-3.9416469817761297</v>
      </c>
      <c r="L36" s="207">
        <v>-5.9124704726641939</v>
      </c>
      <c r="M36" s="207">
        <v>-1.9708234908880649</v>
      </c>
      <c r="N36" s="207">
        <v>-3.9416469817761297</v>
      </c>
      <c r="O36" s="208">
        <v>-65.037175199306148</v>
      </c>
    </row>
    <row r="37" spans="1:15" x14ac:dyDescent="0.2">
      <c r="A37" s="204"/>
      <c r="B37" s="205" t="s">
        <v>50</v>
      </c>
      <c r="C37" s="209">
        <v>15.995772447966047</v>
      </c>
      <c r="D37" s="77">
        <v>23.993658671949071</v>
      </c>
      <c r="E37" s="77">
        <v>15.995772447966047</v>
      </c>
      <c r="F37" s="77">
        <v>7.9978862239830235</v>
      </c>
      <c r="G37" s="77">
        <v>15.995772447966047</v>
      </c>
      <c r="H37" s="77">
        <v>23.993658671949071</v>
      </c>
      <c r="I37" s="77">
        <v>55.985203567881165</v>
      </c>
      <c r="J37" s="77">
        <v>39.989431119915118</v>
      </c>
      <c r="K37" s="77">
        <v>15.995772447966047</v>
      </c>
      <c r="L37" s="77">
        <v>23.993658671949071</v>
      </c>
      <c r="M37" s="77">
        <v>7.9978862239830235</v>
      </c>
      <c r="N37" s="77">
        <v>15.995772447966047</v>
      </c>
      <c r="O37" s="210">
        <v>263.93024539143977</v>
      </c>
    </row>
    <row r="38" spans="1:15" x14ac:dyDescent="0.2">
      <c r="A38" s="204"/>
      <c r="B38" s="205" t="s">
        <v>90</v>
      </c>
      <c r="C38" s="209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210">
        <v>0</v>
      </c>
    </row>
    <row r="39" spans="1:15" x14ac:dyDescent="0.2">
      <c r="A39" s="204"/>
      <c r="B39" s="205" t="s">
        <v>92</v>
      </c>
      <c r="C39" s="209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210">
        <v>0</v>
      </c>
    </row>
    <row r="40" spans="1:15" x14ac:dyDescent="0.2">
      <c r="A40" s="194" t="s">
        <v>19</v>
      </c>
      <c r="B40" s="194" t="s">
        <v>71</v>
      </c>
      <c r="C40" s="201">
        <v>431.11327024176961</v>
      </c>
      <c r="D40" s="202">
        <v>307.93805017269256</v>
      </c>
      <c r="E40" s="202">
        <v>412.63698723140806</v>
      </c>
      <c r="F40" s="202">
        <v>437.27203124522345</v>
      </c>
      <c r="G40" s="202">
        <v>394.1607042210465</v>
      </c>
      <c r="H40" s="202">
        <v>443.43079224867734</v>
      </c>
      <c r="I40" s="202">
        <v>67.746371037992361</v>
      </c>
      <c r="J40" s="202">
        <v>381.84318221413878</v>
      </c>
      <c r="K40" s="202">
        <v>443.43079224867734</v>
      </c>
      <c r="L40" s="202">
        <v>443.43079224867734</v>
      </c>
      <c r="M40" s="202">
        <v>412.63698723140806</v>
      </c>
      <c r="N40" s="202">
        <v>418.79574823486189</v>
      </c>
      <c r="O40" s="203">
        <v>4594.4357085765741</v>
      </c>
    </row>
    <row r="41" spans="1:15" x14ac:dyDescent="0.2">
      <c r="A41" s="204"/>
      <c r="B41" s="205" t="s">
        <v>25</v>
      </c>
      <c r="C41" s="206">
        <v>-128.73876543704199</v>
      </c>
      <c r="D41" s="207">
        <v>-91.956261026458606</v>
      </c>
      <c r="E41" s="207">
        <v>-123.22138977545455</v>
      </c>
      <c r="F41" s="207">
        <v>-130.57789065757123</v>
      </c>
      <c r="G41" s="207">
        <v>-117.704014113867</v>
      </c>
      <c r="H41" s="207">
        <v>-132.4170158781003</v>
      </c>
      <c r="I41" s="207">
        <v>-20.230377425820905</v>
      </c>
      <c r="J41" s="207">
        <v>-114.02576367280869</v>
      </c>
      <c r="K41" s="207">
        <v>-132.4170158781003</v>
      </c>
      <c r="L41" s="207">
        <v>-132.4170158781003</v>
      </c>
      <c r="M41" s="207">
        <v>-123.22138977545455</v>
      </c>
      <c r="N41" s="207">
        <v>-125.06051499598368</v>
      </c>
      <c r="O41" s="208">
        <v>-1371.9874145147623</v>
      </c>
    </row>
    <row r="42" spans="1:15" x14ac:dyDescent="0.2">
      <c r="A42" s="204"/>
      <c r="B42" s="205" t="s">
        <v>26</v>
      </c>
      <c r="C42" s="206">
        <v>-9.2188789251225067</v>
      </c>
      <c r="D42" s="207">
        <v>-6.5849135179446483</v>
      </c>
      <c r="E42" s="207">
        <v>-8.8237841140458286</v>
      </c>
      <c r="F42" s="207">
        <v>-9.3505771954814012</v>
      </c>
      <c r="G42" s="207">
        <v>-8.4286893029691488</v>
      </c>
      <c r="H42" s="207">
        <v>-9.4822754658402921</v>
      </c>
      <c r="I42" s="207">
        <v>-1.4486809739478226</v>
      </c>
      <c r="J42" s="207">
        <v>-8.1652927622513634</v>
      </c>
      <c r="K42" s="207">
        <v>-9.4822754658402921</v>
      </c>
      <c r="L42" s="207">
        <v>-9.4822754658402921</v>
      </c>
      <c r="M42" s="207">
        <v>-8.8237841140458286</v>
      </c>
      <c r="N42" s="207">
        <v>-8.9554823844047213</v>
      </c>
      <c r="O42" s="208">
        <v>-98.246909687734131</v>
      </c>
    </row>
    <row r="43" spans="1:15" x14ac:dyDescent="0.2">
      <c r="A43" s="204"/>
      <c r="B43" s="205" t="s">
        <v>27</v>
      </c>
      <c r="C43" s="206">
        <v>-137.9576443621645</v>
      </c>
      <c r="D43" s="207">
        <v>-98.541174544403248</v>
      </c>
      <c r="E43" s="207">
        <v>-132.04517388950038</v>
      </c>
      <c r="F43" s="207">
        <v>-139.92846785305264</v>
      </c>
      <c r="G43" s="207">
        <v>-126.13270341683615</v>
      </c>
      <c r="H43" s="207">
        <v>-141.8992913439406</v>
      </c>
      <c r="I43" s="207">
        <v>-21.679058399768728</v>
      </c>
      <c r="J43" s="207">
        <v>-122.19105643506006</v>
      </c>
      <c r="K43" s="207">
        <v>-141.8992913439406</v>
      </c>
      <c r="L43" s="207">
        <v>-141.8992913439406</v>
      </c>
      <c r="M43" s="207">
        <v>-132.04517388950038</v>
      </c>
      <c r="N43" s="207">
        <v>-134.0159973803884</v>
      </c>
      <c r="O43" s="208">
        <v>-1470.2343242024963</v>
      </c>
    </row>
    <row r="44" spans="1:15" x14ac:dyDescent="0.2">
      <c r="A44" s="204"/>
      <c r="B44" s="205" t="s">
        <v>50</v>
      </c>
      <c r="C44" s="209">
        <v>559.8520356788116</v>
      </c>
      <c r="D44" s="77">
        <v>399.89431119915116</v>
      </c>
      <c r="E44" s="77">
        <v>535.85837700686261</v>
      </c>
      <c r="F44" s="77">
        <v>567.84992190279468</v>
      </c>
      <c r="G44" s="77">
        <v>511.8647183349135</v>
      </c>
      <c r="H44" s="77">
        <v>575.84780812677764</v>
      </c>
      <c r="I44" s="77">
        <v>87.976748463813266</v>
      </c>
      <c r="J44" s="77">
        <v>495.86894588694747</v>
      </c>
      <c r="K44" s="77">
        <v>575.84780812677764</v>
      </c>
      <c r="L44" s="77">
        <v>575.84780812677764</v>
      </c>
      <c r="M44" s="77">
        <v>535.85837700686261</v>
      </c>
      <c r="N44" s="77">
        <v>543.85626323084557</v>
      </c>
      <c r="O44" s="210">
        <v>5966.4231230913356</v>
      </c>
    </row>
    <row r="45" spans="1:15" x14ac:dyDescent="0.2">
      <c r="A45" s="204"/>
      <c r="B45" s="205" t="s">
        <v>90</v>
      </c>
      <c r="C45" s="209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210">
        <v>0</v>
      </c>
    </row>
    <row r="46" spans="1:15" x14ac:dyDescent="0.2">
      <c r="A46" s="204"/>
      <c r="B46" s="205" t="s">
        <v>92</v>
      </c>
      <c r="C46" s="209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210">
        <v>0</v>
      </c>
    </row>
    <row r="47" spans="1:15" x14ac:dyDescent="0.2">
      <c r="A47" s="194" t="s">
        <v>8</v>
      </c>
      <c r="B47" s="194" t="s">
        <v>71</v>
      </c>
      <c r="C47" s="201">
        <v>548.12972930739284</v>
      </c>
      <c r="D47" s="202">
        <v>628.19362235229289</v>
      </c>
      <c r="E47" s="202">
        <v>394.1607042210465</v>
      </c>
      <c r="F47" s="202">
        <v>437.27203124522345</v>
      </c>
      <c r="G47" s="202">
        <v>665.146188373016</v>
      </c>
      <c r="H47" s="202">
        <v>800.63893044900067</v>
      </c>
      <c r="I47" s="202">
        <v>929.97291152153161</v>
      </c>
      <c r="J47" s="202">
        <v>893.0203455008085</v>
      </c>
      <c r="K47" s="202">
        <v>776.00388643518534</v>
      </c>
      <c r="L47" s="202">
        <v>652.82866636610822</v>
      </c>
      <c r="M47" s="202">
        <v>412.63698723140806</v>
      </c>
      <c r="N47" s="202">
        <v>505.01840228321583</v>
      </c>
      <c r="O47" s="203">
        <v>7643.0224052862295</v>
      </c>
    </row>
    <row r="48" spans="1:15" x14ac:dyDescent="0.2">
      <c r="A48" s="204"/>
      <c r="B48" s="205" t="s">
        <v>25</v>
      </c>
      <c r="C48" s="206">
        <v>-163.68214462709625</v>
      </c>
      <c r="D48" s="207">
        <v>-187.59077249397546</v>
      </c>
      <c r="E48" s="207">
        <v>-117.704014113867</v>
      </c>
      <c r="F48" s="207">
        <v>-130.57789065757123</v>
      </c>
      <c r="G48" s="207">
        <v>-198.62552381715057</v>
      </c>
      <c r="H48" s="207">
        <v>-239.08627866879249</v>
      </c>
      <c r="I48" s="207">
        <v>-277.70790829990483</v>
      </c>
      <c r="J48" s="207">
        <v>-266.67315697672996</v>
      </c>
      <c r="K48" s="207">
        <v>-231.72977778667564</v>
      </c>
      <c r="L48" s="207">
        <v>-194.94727337609231</v>
      </c>
      <c r="M48" s="207">
        <v>-123.22138977545455</v>
      </c>
      <c r="N48" s="207">
        <v>-150.80826808339208</v>
      </c>
      <c r="O48" s="208">
        <v>-2282.3543986767022</v>
      </c>
    </row>
    <row r="49" spans="1:15" x14ac:dyDescent="0.2">
      <c r="A49" s="204"/>
      <c r="B49" s="205" t="s">
        <v>26</v>
      </c>
      <c r="C49" s="206">
        <v>-11.721146061941473</v>
      </c>
      <c r="D49" s="207">
        <v>-13.433223576607082</v>
      </c>
      <c r="E49" s="207">
        <v>-8.4286893029691488</v>
      </c>
      <c r="F49" s="207">
        <v>-9.3505771954814012</v>
      </c>
      <c r="G49" s="207">
        <v>-14.22341319876044</v>
      </c>
      <c r="H49" s="207">
        <v>-17.120775146656083</v>
      </c>
      <c r="I49" s="207">
        <v>-19.886438824192837</v>
      </c>
      <c r="J49" s="207">
        <v>-19.096249202039477</v>
      </c>
      <c r="K49" s="207">
        <v>-16.593982065220516</v>
      </c>
      <c r="L49" s="207">
        <v>-13.960016658042655</v>
      </c>
      <c r="M49" s="207">
        <v>-8.8237841140458286</v>
      </c>
      <c r="N49" s="207">
        <v>-10.799258169429223</v>
      </c>
      <c r="O49" s="208">
        <v>-163.43755351538618</v>
      </c>
    </row>
    <row r="50" spans="1:15" x14ac:dyDescent="0.2">
      <c r="A50" s="204"/>
      <c r="B50" s="205" t="s">
        <v>27</v>
      </c>
      <c r="C50" s="206">
        <v>-175.40329068903773</v>
      </c>
      <c r="D50" s="207">
        <v>-201.02399607058254</v>
      </c>
      <c r="E50" s="207">
        <v>-126.13270341683615</v>
      </c>
      <c r="F50" s="207">
        <v>-139.92846785305264</v>
      </c>
      <c r="G50" s="207">
        <v>-212.84893701591102</v>
      </c>
      <c r="H50" s="207">
        <v>-256.20705381544855</v>
      </c>
      <c r="I50" s="207">
        <v>-297.59434712409768</v>
      </c>
      <c r="J50" s="207">
        <v>-285.76940617876943</v>
      </c>
      <c r="K50" s="207">
        <v>-248.32375985189617</v>
      </c>
      <c r="L50" s="207">
        <v>-208.90729003413497</v>
      </c>
      <c r="M50" s="207">
        <v>-132.04517388950038</v>
      </c>
      <c r="N50" s="207">
        <v>-161.60752625282129</v>
      </c>
      <c r="O50" s="208">
        <v>-2445.791952192088</v>
      </c>
    </row>
    <row r="51" spans="1:15" x14ac:dyDescent="0.2">
      <c r="A51" s="204"/>
      <c r="B51" s="205" t="s">
        <v>50</v>
      </c>
      <c r="C51" s="209">
        <v>711.81187393448909</v>
      </c>
      <c r="D51" s="77">
        <v>815.78439484626836</v>
      </c>
      <c r="E51" s="77">
        <v>511.8647183349135</v>
      </c>
      <c r="F51" s="77">
        <v>567.84992190279468</v>
      </c>
      <c r="G51" s="77">
        <v>863.77171219016657</v>
      </c>
      <c r="H51" s="77">
        <v>1039.7252091177932</v>
      </c>
      <c r="I51" s="77">
        <v>1207.6808198214364</v>
      </c>
      <c r="J51" s="77">
        <v>1159.6935024775385</v>
      </c>
      <c r="K51" s="77">
        <v>1007.733664221861</v>
      </c>
      <c r="L51" s="77">
        <v>847.77593974220053</v>
      </c>
      <c r="M51" s="77">
        <v>535.85837700686261</v>
      </c>
      <c r="N51" s="77">
        <v>655.82667036660791</v>
      </c>
      <c r="O51" s="210">
        <v>9925.3768039629322</v>
      </c>
    </row>
    <row r="52" spans="1:15" x14ac:dyDescent="0.2">
      <c r="A52" s="204"/>
      <c r="B52" s="205" t="s">
        <v>90</v>
      </c>
      <c r="C52" s="209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210">
        <v>0</v>
      </c>
    </row>
    <row r="53" spans="1:15" x14ac:dyDescent="0.2">
      <c r="A53" s="204"/>
      <c r="B53" s="205" t="s">
        <v>92</v>
      </c>
      <c r="C53" s="209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210">
        <v>0</v>
      </c>
    </row>
    <row r="54" spans="1:15" x14ac:dyDescent="0.2">
      <c r="A54" s="194" t="s">
        <v>21</v>
      </c>
      <c r="B54" s="194" t="s">
        <v>71</v>
      </c>
      <c r="C54" s="201">
        <v>18112.916111157778</v>
      </c>
      <c r="D54" s="202">
        <v>19837.369192124857</v>
      </c>
      <c r="E54" s="202">
        <v>14898.042867354867</v>
      </c>
      <c r="F54" s="202">
        <v>16733.353646384116</v>
      </c>
      <c r="G54" s="202">
        <v>20804.29466966711</v>
      </c>
      <c r="H54" s="202">
        <v>23551.102077207528</v>
      </c>
      <c r="I54" s="202">
        <v>25312.50772419533</v>
      </c>
      <c r="J54" s="202">
        <v>25226.285070146976</v>
      </c>
      <c r="K54" s="202">
        <v>22522.588989630734</v>
      </c>
      <c r="L54" s="202">
        <v>20083.719632263012</v>
      </c>
      <c r="M54" s="202">
        <v>15082.805697458483</v>
      </c>
      <c r="N54" s="202">
        <v>17349.229746729499</v>
      </c>
      <c r="O54" s="203">
        <v>239514.21542432031</v>
      </c>
    </row>
    <row r="55" spans="1:15" x14ac:dyDescent="0.2">
      <c r="A55" s="204"/>
      <c r="B55" s="205" t="s">
        <v>25</v>
      </c>
      <c r="C55" s="206">
        <v>-5408.8672735762957</v>
      </c>
      <c r="D55" s="207">
        <v>-5923.8223353244612</v>
      </c>
      <c r="E55" s="207">
        <v>-4448.8439084600686</v>
      </c>
      <c r="F55" s="207">
        <v>-4996.9032241777604</v>
      </c>
      <c r="G55" s="207">
        <v>-6212.5649949475446</v>
      </c>
      <c r="H55" s="207">
        <v>-7032.8148433035531</v>
      </c>
      <c r="I55" s="207">
        <v>-7558.8046563748976</v>
      </c>
      <c r="J55" s="207">
        <v>-7533.0569032874882</v>
      </c>
      <c r="K55" s="207">
        <v>-6725.6809314751808</v>
      </c>
      <c r="L55" s="207">
        <v>-5997.3873441456271</v>
      </c>
      <c r="M55" s="207">
        <v>-4504.0176650759422</v>
      </c>
      <c r="N55" s="207">
        <v>-5180.8157462306772</v>
      </c>
      <c r="O55" s="208">
        <v>-71523.579826379486</v>
      </c>
    </row>
    <row r="56" spans="1:15" x14ac:dyDescent="0.2">
      <c r="A56" s="204"/>
      <c r="B56" s="205" t="s">
        <v>26</v>
      </c>
      <c r="C56" s="206">
        <v>-387.32461312550424</v>
      </c>
      <c r="D56" s="207">
        <v>-424.20012882599423</v>
      </c>
      <c r="E56" s="207">
        <v>-318.5781159981621</v>
      </c>
      <c r="F56" s="207">
        <v>-357.82420056511216</v>
      </c>
      <c r="G56" s="207">
        <v>-444.8767572723404</v>
      </c>
      <c r="H56" s="207">
        <v>-503.61418585240671</v>
      </c>
      <c r="I56" s="207">
        <v>-541.27989117505001</v>
      </c>
      <c r="J56" s="207">
        <v>-539.43611539002552</v>
      </c>
      <c r="K56" s="207">
        <v>-481.62057470247157</v>
      </c>
      <c r="L56" s="207">
        <v>-429.46805964034996</v>
      </c>
      <c r="M56" s="207">
        <v>-322.52906410892888</v>
      </c>
      <c r="N56" s="207">
        <v>-370.99402760100145</v>
      </c>
      <c r="O56" s="208">
        <v>-5121.7457342573462</v>
      </c>
    </row>
    <row r="57" spans="1:15" x14ac:dyDescent="0.2">
      <c r="A57" s="204"/>
      <c r="B57" s="205" t="s">
        <v>27</v>
      </c>
      <c r="C57" s="206">
        <v>-5796.1918867018003</v>
      </c>
      <c r="D57" s="207">
        <v>-6348.0224641504556</v>
      </c>
      <c r="E57" s="207">
        <v>-4767.4220244582311</v>
      </c>
      <c r="F57" s="207">
        <v>-5354.7274247428722</v>
      </c>
      <c r="G57" s="207">
        <v>-6657.4417522198846</v>
      </c>
      <c r="H57" s="207">
        <v>-7536.4290291559601</v>
      </c>
      <c r="I57" s="207">
        <v>-8100.0845475499473</v>
      </c>
      <c r="J57" s="207">
        <v>-8072.4930186775136</v>
      </c>
      <c r="K57" s="207">
        <v>-7207.3015061776523</v>
      </c>
      <c r="L57" s="207">
        <v>-6426.8554037859767</v>
      </c>
      <c r="M57" s="207">
        <v>-4826.5467291848709</v>
      </c>
      <c r="N57" s="207">
        <v>-5551.8097738316783</v>
      </c>
      <c r="O57" s="208">
        <v>-76645.325560636848</v>
      </c>
    </row>
    <row r="58" spans="1:15" x14ac:dyDescent="0.2">
      <c r="A58" s="204"/>
      <c r="B58" s="205" t="s">
        <v>50</v>
      </c>
      <c r="C58" s="209">
        <v>23521.783384734073</v>
      </c>
      <c r="D58" s="77">
        <v>25761.191527449319</v>
      </c>
      <c r="E58" s="77">
        <v>19346.886775814935</v>
      </c>
      <c r="F58" s="77">
        <v>21730.256870561876</v>
      </c>
      <c r="G58" s="77">
        <v>27016.859664614654</v>
      </c>
      <c r="H58" s="77">
        <v>30583.916920511081</v>
      </c>
      <c r="I58" s="77">
        <v>32871.312380570227</v>
      </c>
      <c r="J58" s="77">
        <v>32759.341973434464</v>
      </c>
      <c r="K58" s="77">
        <v>29248.269921105915</v>
      </c>
      <c r="L58" s="77">
        <v>26081.106976408639</v>
      </c>
      <c r="M58" s="77">
        <v>19586.823362534426</v>
      </c>
      <c r="N58" s="77">
        <v>22530.045492960176</v>
      </c>
      <c r="O58" s="210">
        <v>311037.79525069974</v>
      </c>
    </row>
    <row r="59" spans="1:15" x14ac:dyDescent="0.2">
      <c r="A59" s="204"/>
      <c r="B59" s="205" t="s">
        <v>90</v>
      </c>
      <c r="C59" s="209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210">
        <v>0</v>
      </c>
    </row>
    <row r="60" spans="1:15" x14ac:dyDescent="0.2">
      <c r="A60" s="204"/>
      <c r="B60" s="205" t="s">
        <v>92</v>
      </c>
      <c r="C60" s="209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210">
        <v>0</v>
      </c>
    </row>
    <row r="61" spans="1:15" x14ac:dyDescent="0.2">
      <c r="A61" s="194" t="s">
        <v>22</v>
      </c>
      <c r="B61" s="194" t="s">
        <v>71</v>
      </c>
      <c r="C61" s="201">
        <v>21026.010065791448</v>
      </c>
      <c r="D61" s="202">
        <v>20508.674141501328</v>
      </c>
      <c r="E61" s="202">
        <v>15292.203571575914</v>
      </c>
      <c r="F61" s="202">
        <v>15698.681797803867</v>
      </c>
      <c r="G61" s="202">
        <v>18519.394337385733</v>
      </c>
      <c r="H61" s="202">
        <v>20798.135908663658</v>
      </c>
      <c r="I61" s="202">
        <v>22929.067215858689</v>
      </c>
      <c r="J61" s="202">
        <v>22879.797127831058</v>
      </c>
      <c r="K61" s="202">
        <v>20052.925827245741</v>
      </c>
      <c r="L61" s="202">
        <v>18562.50566440991</v>
      </c>
      <c r="M61" s="202">
        <v>14399.183226075105</v>
      </c>
      <c r="N61" s="202">
        <v>18285.361419254485</v>
      </c>
      <c r="O61" s="203">
        <v>228951.94030339696</v>
      </c>
    </row>
    <row r="62" spans="1:15" x14ac:dyDescent="0.2">
      <c r="A62" s="204"/>
      <c r="B62" s="205" t="s">
        <v>25</v>
      </c>
      <c r="C62" s="206">
        <v>-6278.7735028865936</v>
      </c>
      <c r="D62" s="207">
        <v>-6124.2869843621411</v>
      </c>
      <c r="E62" s="207">
        <v>-4566.5479225739346</v>
      </c>
      <c r="F62" s="207">
        <v>-4687.930187128859</v>
      </c>
      <c r="G62" s="207">
        <v>-5530.2495381312183</v>
      </c>
      <c r="H62" s="207">
        <v>-6210.7258697270117</v>
      </c>
      <c r="I62" s="207">
        <v>-6847.0631960301071</v>
      </c>
      <c r="J62" s="207">
        <v>-6832.3501942658731</v>
      </c>
      <c r="K62" s="207">
        <v>-5988.1917180429846</v>
      </c>
      <c r="L62" s="207">
        <v>-5543.123414674923</v>
      </c>
      <c r="M62" s="207">
        <v>-4299.874765597202</v>
      </c>
      <c r="N62" s="207">
        <v>-5460.3627797511108</v>
      </c>
      <c r="O62" s="208">
        <v>-68369.480073171959</v>
      </c>
    </row>
    <row r="63" spans="1:15" x14ac:dyDescent="0.2">
      <c r="A63" s="204"/>
      <c r="B63" s="205" t="s">
        <v>26</v>
      </c>
      <c r="C63" s="206">
        <v>-449.61789500526061</v>
      </c>
      <c r="D63" s="207">
        <v>-438.55524029511355</v>
      </c>
      <c r="E63" s="207">
        <v>-327.00680530113124</v>
      </c>
      <c r="F63" s="207">
        <v>-335.69889114481816</v>
      </c>
      <c r="G63" s="207">
        <v>-396.01669896919111</v>
      </c>
      <c r="H63" s="207">
        <v>-444.74505900198153</v>
      </c>
      <c r="I63" s="207">
        <v>-490.31266054615855</v>
      </c>
      <c r="J63" s="207">
        <v>-489.25907438328738</v>
      </c>
      <c r="K63" s="207">
        <v>-428.80956828855551</v>
      </c>
      <c r="L63" s="207">
        <v>-396.93858686170336</v>
      </c>
      <c r="M63" s="207">
        <v>-307.91055609909176</v>
      </c>
      <c r="N63" s="207">
        <v>-391.01216469555322</v>
      </c>
      <c r="O63" s="208">
        <v>-4895.8832005918466</v>
      </c>
    </row>
    <row r="64" spans="1:15" x14ac:dyDescent="0.2">
      <c r="A64" s="204"/>
      <c r="B64" s="205" t="s">
        <v>27</v>
      </c>
      <c r="C64" s="206">
        <v>-6728.3913978918545</v>
      </c>
      <c r="D64" s="207">
        <v>-6562.8422246572545</v>
      </c>
      <c r="E64" s="207">
        <v>-4893.5547278750655</v>
      </c>
      <c r="F64" s="207">
        <v>-5023.6290782736769</v>
      </c>
      <c r="G64" s="207">
        <v>-5926.2662371004099</v>
      </c>
      <c r="H64" s="207">
        <v>-6655.4709287289934</v>
      </c>
      <c r="I64" s="207">
        <v>-7337.3758565762655</v>
      </c>
      <c r="J64" s="207">
        <v>-7321.6092686491602</v>
      </c>
      <c r="K64" s="207">
        <v>-6417.0012863315405</v>
      </c>
      <c r="L64" s="207">
        <v>-5940.0620015366267</v>
      </c>
      <c r="M64" s="207">
        <v>-4607.785321696294</v>
      </c>
      <c r="N64" s="207">
        <v>-5851.3749444466639</v>
      </c>
      <c r="O64" s="208">
        <v>-73265.363273763811</v>
      </c>
    </row>
    <row r="65" spans="1:15" x14ac:dyDescent="0.2">
      <c r="A65" s="204"/>
      <c r="B65" s="205" t="s">
        <v>50</v>
      </c>
      <c r="C65" s="209">
        <v>27304.783568678042</v>
      </c>
      <c r="D65" s="77">
        <v>26632.961125863469</v>
      </c>
      <c r="E65" s="77">
        <v>19858.751494149848</v>
      </c>
      <c r="F65" s="77">
        <v>20386.611984932726</v>
      </c>
      <c r="G65" s="77">
        <v>24049.643875516951</v>
      </c>
      <c r="H65" s="77">
        <v>27008.86177839067</v>
      </c>
      <c r="I65" s="77">
        <v>29776.130411888797</v>
      </c>
      <c r="J65" s="77">
        <v>29712.147322096931</v>
      </c>
      <c r="K65" s="77">
        <v>26041.117545288726</v>
      </c>
      <c r="L65" s="77">
        <v>24105.629079084832</v>
      </c>
      <c r="M65" s="77">
        <v>18699.057991672307</v>
      </c>
      <c r="N65" s="77">
        <v>23745.724199005595</v>
      </c>
      <c r="O65" s="210">
        <v>297321.42037656886</v>
      </c>
    </row>
    <row r="66" spans="1:15" x14ac:dyDescent="0.2">
      <c r="A66" s="204"/>
      <c r="B66" s="205" t="s">
        <v>90</v>
      </c>
      <c r="C66" s="209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210">
        <v>0</v>
      </c>
    </row>
    <row r="67" spans="1:15" x14ac:dyDescent="0.2">
      <c r="A67" s="204"/>
      <c r="B67" s="205" t="s">
        <v>92</v>
      </c>
      <c r="C67" s="209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210">
        <v>0</v>
      </c>
    </row>
    <row r="68" spans="1:15" x14ac:dyDescent="0.2">
      <c r="A68" s="194" t="s">
        <v>9</v>
      </c>
      <c r="B68" s="194" t="s">
        <v>71</v>
      </c>
      <c r="C68" s="201">
        <v>412.63698723140806</v>
      </c>
      <c r="D68" s="202">
        <v>437.27203124522345</v>
      </c>
      <c r="E68" s="202">
        <v>301.77928916923872</v>
      </c>
      <c r="F68" s="202">
        <v>227.8741571277925</v>
      </c>
      <c r="G68" s="202">
        <v>307.93805017269256</v>
      </c>
      <c r="H68" s="202">
        <v>332.573094186508</v>
      </c>
      <c r="I68" s="202">
        <v>381.84318221413878</v>
      </c>
      <c r="J68" s="202">
        <v>338.73185518996183</v>
      </c>
      <c r="K68" s="202">
        <v>307.93805017269256</v>
      </c>
      <c r="L68" s="202">
        <v>289.461767162331</v>
      </c>
      <c r="M68" s="202">
        <v>295.62052816578489</v>
      </c>
      <c r="N68" s="202">
        <v>357.20813820032339</v>
      </c>
      <c r="O68" s="203">
        <v>3990.8771302380956</v>
      </c>
    </row>
    <row r="69" spans="1:15" x14ac:dyDescent="0.2">
      <c r="A69" s="204"/>
      <c r="B69" s="205" t="s">
        <v>25</v>
      </c>
      <c r="C69" s="206">
        <v>-123.22138977545455</v>
      </c>
      <c r="D69" s="207">
        <v>-130.57789065757123</v>
      </c>
      <c r="E69" s="207">
        <v>-90.117135805929422</v>
      </c>
      <c r="F69" s="207">
        <v>-68.047633159579391</v>
      </c>
      <c r="G69" s="207">
        <v>-91.956261026458606</v>
      </c>
      <c r="H69" s="207">
        <v>-99.312761908575283</v>
      </c>
      <c r="I69" s="207">
        <v>-114.02576367280869</v>
      </c>
      <c r="J69" s="207">
        <v>-101.15188712910447</v>
      </c>
      <c r="K69" s="207">
        <v>-91.956261026458606</v>
      </c>
      <c r="L69" s="207">
        <v>-86.438885364871112</v>
      </c>
      <c r="M69" s="207">
        <v>-88.278010585400239</v>
      </c>
      <c r="N69" s="207">
        <v>-106.66926279069196</v>
      </c>
      <c r="O69" s="208">
        <v>-1191.7531429029036</v>
      </c>
    </row>
    <row r="70" spans="1:15" x14ac:dyDescent="0.2">
      <c r="A70" s="204"/>
      <c r="B70" s="205" t="s">
        <v>26</v>
      </c>
      <c r="C70" s="206">
        <v>-8.8237841140458286</v>
      </c>
      <c r="D70" s="207">
        <v>-9.3505771954814012</v>
      </c>
      <c r="E70" s="207">
        <v>-6.4532152475857547</v>
      </c>
      <c r="F70" s="207">
        <v>-4.8728360032790397</v>
      </c>
      <c r="G70" s="207">
        <v>-6.5849135179446483</v>
      </c>
      <c r="H70" s="207">
        <v>-7.11170659938022</v>
      </c>
      <c r="I70" s="207">
        <v>-8.1652927622513634</v>
      </c>
      <c r="J70" s="207">
        <v>-7.2434048697391136</v>
      </c>
      <c r="K70" s="207">
        <v>-6.5849135179446483</v>
      </c>
      <c r="L70" s="207">
        <v>-6.1898187068679693</v>
      </c>
      <c r="M70" s="207">
        <v>-6.3215169772268629</v>
      </c>
      <c r="N70" s="207">
        <v>-7.6384996808157917</v>
      </c>
      <c r="O70" s="208">
        <v>-85.34047919256264</v>
      </c>
    </row>
    <row r="71" spans="1:15" x14ac:dyDescent="0.2">
      <c r="A71" s="204"/>
      <c r="B71" s="205" t="s">
        <v>27</v>
      </c>
      <c r="C71" s="206">
        <v>-132.04517388950038</v>
      </c>
      <c r="D71" s="207">
        <v>-139.92846785305264</v>
      </c>
      <c r="E71" s="207">
        <v>-96.570351053515182</v>
      </c>
      <c r="F71" s="207">
        <v>-72.920469162858424</v>
      </c>
      <c r="G71" s="207">
        <v>-98.541174544403248</v>
      </c>
      <c r="H71" s="207">
        <v>-106.42446850795551</v>
      </c>
      <c r="I71" s="207">
        <v>-122.19105643506006</v>
      </c>
      <c r="J71" s="207">
        <v>-108.39529199884358</v>
      </c>
      <c r="K71" s="207">
        <v>-98.541174544403248</v>
      </c>
      <c r="L71" s="207">
        <v>-92.628704071739079</v>
      </c>
      <c r="M71" s="207">
        <v>-94.599527562627102</v>
      </c>
      <c r="N71" s="207">
        <v>-114.30776247150776</v>
      </c>
      <c r="O71" s="208">
        <v>-1277.0936220954661</v>
      </c>
    </row>
    <row r="72" spans="1:15" x14ac:dyDescent="0.2">
      <c r="A72" s="204"/>
      <c r="B72" s="205" t="s">
        <v>50</v>
      </c>
      <c r="C72" s="209">
        <v>535.85837700686261</v>
      </c>
      <c r="D72" s="77">
        <v>567.84992190279468</v>
      </c>
      <c r="E72" s="77">
        <v>391.89642497516815</v>
      </c>
      <c r="F72" s="77">
        <v>295.92179028737189</v>
      </c>
      <c r="G72" s="77">
        <v>399.89431119915116</v>
      </c>
      <c r="H72" s="77">
        <v>431.88585609508328</v>
      </c>
      <c r="I72" s="77">
        <v>495.86894588694747</v>
      </c>
      <c r="J72" s="77">
        <v>439.8837423190663</v>
      </c>
      <c r="K72" s="77">
        <v>399.89431119915116</v>
      </c>
      <c r="L72" s="77">
        <v>375.90065252720211</v>
      </c>
      <c r="M72" s="77">
        <v>383.89853875118513</v>
      </c>
      <c r="N72" s="77">
        <v>463.87740099101535</v>
      </c>
      <c r="O72" s="210">
        <v>5182.6302731409996</v>
      </c>
    </row>
    <row r="73" spans="1:15" x14ac:dyDescent="0.2">
      <c r="A73" s="204"/>
      <c r="B73" s="205" t="s">
        <v>90</v>
      </c>
      <c r="C73" s="209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210">
        <v>0</v>
      </c>
    </row>
    <row r="74" spans="1:15" x14ac:dyDescent="0.2">
      <c r="A74" s="204"/>
      <c r="B74" s="205" t="s">
        <v>92</v>
      </c>
      <c r="C74" s="209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210">
        <v>0</v>
      </c>
    </row>
    <row r="75" spans="1:15" x14ac:dyDescent="0.2">
      <c r="A75" s="194" t="s">
        <v>55</v>
      </c>
      <c r="B75" s="194" t="s">
        <v>71</v>
      </c>
      <c r="C75" s="201">
        <v>843.75025747317761</v>
      </c>
      <c r="D75" s="202">
        <v>960.76671653880089</v>
      </c>
      <c r="E75" s="202">
        <v>695.93999339028528</v>
      </c>
      <c r="F75" s="202">
        <v>689.78123238683133</v>
      </c>
      <c r="G75" s="202">
        <v>874.54406249044689</v>
      </c>
      <c r="H75" s="202">
        <v>1016.1955655698855</v>
      </c>
      <c r="I75" s="202">
        <v>1139.3707856389626</v>
      </c>
      <c r="J75" s="202">
        <v>1176.3233516596856</v>
      </c>
      <c r="K75" s="202">
        <v>862.22654048353922</v>
      </c>
      <c r="L75" s="202">
        <v>843.75025747317761</v>
      </c>
      <c r="M75" s="202">
        <v>739.05132041446223</v>
      </c>
      <c r="N75" s="202">
        <v>788.321408442093</v>
      </c>
      <c r="O75" s="203">
        <v>10630.021491961348</v>
      </c>
    </row>
    <row r="76" spans="1:15" x14ac:dyDescent="0.2">
      <c r="A76" s="204"/>
      <c r="B76" s="205" t="s">
        <v>25</v>
      </c>
      <c r="C76" s="209">
        <v>-251.96015521249672</v>
      </c>
      <c r="D76" s="77">
        <v>-286.9035344025508</v>
      </c>
      <c r="E76" s="77">
        <v>-207.82114991979643</v>
      </c>
      <c r="F76" s="77">
        <v>-205.9820246992673</v>
      </c>
      <c r="G76" s="77">
        <v>-261.15578131514246</v>
      </c>
      <c r="H76" s="77">
        <v>-303.45566138731328</v>
      </c>
      <c r="I76" s="77">
        <v>-340.23816579789673</v>
      </c>
      <c r="J76" s="77">
        <v>-351.27291712107194</v>
      </c>
      <c r="K76" s="77">
        <v>-257.47753087408398</v>
      </c>
      <c r="L76" s="77">
        <v>-251.96015521249672</v>
      </c>
      <c r="M76" s="77">
        <v>-220.69502646350065</v>
      </c>
      <c r="N76" s="77">
        <v>-235.40802822773401</v>
      </c>
      <c r="O76" s="210">
        <v>-3174.3301306333515</v>
      </c>
    </row>
    <row r="77" spans="1:15" x14ac:dyDescent="0.2">
      <c r="A77" s="204"/>
      <c r="B77" s="205" t="s">
        <v>26</v>
      </c>
      <c r="C77" s="209">
        <v>-18.042663039168335</v>
      </c>
      <c r="D77" s="77">
        <v>-20.544930175987304</v>
      </c>
      <c r="E77" s="77">
        <v>-14.881904550554903</v>
      </c>
      <c r="F77" s="77">
        <v>-14.750206280196011</v>
      </c>
      <c r="G77" s="77">
        <v>-18.701154390962802</v>
      </c>
      <c r="H77" s="77">
        <v>-21.730214609217338</v>
      </c>
      <c r="I77" s="77">
        <v>-24.364180016395196</v>
      </c>
      <c r="J77" s="77">
        <v>-25.154369638548555</v>
      </c>
      <c r="K77" s="77">
        <v>-18.437757850245013</v>
      </c>
      <c r="L77" s="77">
        <v>-18.042663039168335</v>
      </c>
      <c r="M77" s="77">
        <v>-15.803792443067154</v>
      </c>
      <c r="N77" s="77">
        <v>-16.857378605938298</v>
      </c>
      <c r="O77" s="210">
        <v>-227.31121463944925</v>
      </c>
    </row>
    <row r="78" spans="1:15" x14ac:dyDescent="0.2">
      <c r="A78" s="204"/>
      <c r="B78" s="205" t="s">
        <v>27</v>
      </c>
      <c r="C78" s="209">
        <v>-270.00281825166508</v>
      </c>
      <c r="D78" s="77">
        <v>-307.44846457853811</v>
      </c>
      <c r="E78" s="77">
        <v>-222.70305447035133</v>
      </c>
      <c r="F78" s="77">
        <v>-220.73223097946331</v>
      </c>
      <c r="G78" s="77">
        <v>-279.85693570610528</v>
      </c>
      <c r="H78" s="77">
        <v>-325.18587599653063</v>
      </c>
      <c r="I78" s="77">
        <v>-364.60234581429194</v>
      </c>
      <c r="J78" s="77">
        <v>-376.42728675962047</v>
      </c>
      <c r="K78" s="77">
        <v>-275.915288724329</v>
      </c>
      <c r="L78" s="77">
        <v>-270.00281825166508</v>
      </c>
      <c r="M78" s="77">
        <v>-236.49881890656781</v>
      </c>
      <c r="N78" s="77">
        <v>-252.2654068336723</v>
      </c>
      <c r="O78" s="210">
        <v>-3401.6413452728002</v>
      </c>
    </row>
    <row r="79" spans="1:15" x14ac:dyDescent="0.2">
      <c r="A79" s="204"/>
      <c r="B79" s="205" t="s">
        <v>50</v>
      </c>
      <c r="C79" s="209">
        <v>1095.7104126856743</v>
      </c>
      <c r="D79" s="77">
        <v>1247.6702509413517</v>
      </c>
      <c r="E79" s="77">
        <v>903.76114331008171</v>
      </c>
      <c r="F79" s="77">
        <v>895.76325708609863</v>
      </c>
      <c r="G79" s="77">
        <v>1135.6998438055894</v>
      </c>
      <c r="H79" s="77">
        <v>1319.6512269571988</v>
      </c>
      <c r="I79" s="77">
        <v>1479.6089514368593</v>
      </c>
      <c r="J79" s="77">
        <v>1527.5962687807576</v>
      </c>
      <c r="K79" s="77">
        <v>1119.7040713576232</v>
      </c>
      <c r="L79" s="77">
        <v>1095.7104126856743</v>
      </c>
      <c r="M79" s="77">
        <v>959.74634687796288</v>
      </c>
      <c r="N79" s="77">
        <v>1023.729436669827</v>
      </c>
      <c r="O79" s="210">
        <v>13804.351622594699</v>
      </c>
    </row>
    <row r="80" spans="1:15" x14ac:dyDescent="0.2">
      <c r="A80" s="204"/>
      <c r="B80" s="205" t="s">
        <v>90</v>
      </c>
      <c r="C80" s="209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210">
        <v>0</v>
      </c>
    </row>
    <row r="81" spans="1:15" x14ac:dyDescent="0.2">
      <c r="A81" s="204"/>
      <c r="B81" s="205" t="s">
        <v>92</v>
      </c>
      <c r="C81" s="209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210">
        <v>0</v>
      </c>
    </row>
    <row r="82" spans="1:15" x14ac:dyDescent="0.2">
      <c r="A82" s="194" t="s">
        <v>56</v>
      </c>
      <c r="B82" s="194" t="s">
        <v>71</v>
      </c>
      <c r="C82" s="201">
        <v>67.746371037992361</v>
      </c>
      <c r="D82" s="202">
        <v>55.428849031084667</v>
      </c>
      <c r="E82" s="202">
        <v>49.270088027630813</v>
      </c>
      <c r="F82" s="202">
        <v>61.587610034538514</v>
      </c>
      <c r="G82" s="202">
        <v>67.746371037992361</v>
      </c>
      <c r="H82" s="202">
        <v>67.746371037992361</v>
      </c>
      <c r="I82" s="202">
        <v>86.222654048353917</v>
      </c>
      <c r="J82" s="202">
        <v>67.746371037992361</v>
      </c>
      <c r="K82" s="202">
        <v>73.905132041446223</v>
      </c>
      <c r="L82" s="202">
        <v>80.06389304490007</v>
      </c>
      <c r="M82" s="202">
        <v>61.587610034538514</v>
      </c>
      <c r="N82" s="202">
        <v>43.111327024176958</v>
      </c>
      <c r="O82" s="203">
        <v>782.16264743863917</v>
      </c>
    </row>
    <row r="83" spans="1:15" x14ac:dyDescent="0.2">
      <c r="A83" s="204"/>
      <c r="B83" s="205" t="s">
        <v>25</v>
      </c>
      <c r="C83" s="209">
        <v>-20.230377425820905</v>
      </c>
      <c r="D83" s="77">
        <v>-16.552126984762538</v>
      </c>
      <c r="E83" s="77">
        <v>-14.713001764233375</v>
      </c>
      <c r="F83" s="77">
        <v>-18.391252205291721</v>
      </c>
      <c r="G83" s="77">
        <v>-20.230377425820905</v>
      </c>
      <c r="H83" s="77">
        <v>-20.230377425820905</v>
      </c>
      <c r="I83" s="77">
        <v>-25.747753087408412</v>
      </c>
      <c r="J83" s="77">
        <v>-20.230377425820905</v>
      </c>
      <c r="K83" s="77">
        <v>-22.06950264635006</v>
      </c>
      <c r="L83" s="77">
        <v>-23.908627866879229</v>
      </c>
      <c r="M83" s="77">
        <v>-18.391252205291721</v>
      </c>
      <c r="N83" s="77">
        <v>-12.873876543704206</v>
      </c>
      <c r="O83" s="210">
        <v>-233.56890300720491</v>
      </c>
    </row>
    <row r="84" spans="1:15" x14ac:dyDescent="0.2">
      <c r="A84" s="204"/>
      <c r="B84" s="205" t="s">
        <v>26</v>
      </c>
      <c r="C84" s="209">
        <v>-1.4486809739478226</v>
      </c>
      <c r="D84" s="77">
        <v>-1.1852844332300365</v>
      </c>
      <c r="E84" s="77">
        <v>-1.0535861628711436</v>
      </c>
      <c r="F84" s="77">
        <v>-1.3169827035889294</v>
      </c>
      <c r="G84" s="77">
        <v>-1.4486809739478226</v>
      </c>
      <c r="H84" s="77">
        <v>-1.4486809739478226</v>
      </c>
      <c r="I84" s="77">
        <v>-1.8437757850245013</v>
      </c>
      <c r="J84" s="77">
        <v>-1.4486809739478226</v>
      </c>
      <c r="K84" s="77">
        <v>-1.5803792443067157</v>
      </c>
      <c r="L84" s="77">
        <v>-1.7120775146656084</v>
      </c>
      <c r="M84" s="77">
        <v>-1.3169827035889294</v>
      </c>
      <c r="N84" s="77">
        <v>-0.92188789251225067</v>
      </c>
      <c r="O84" s="210">
        <v>-16.725680335579405</v>
      </c>
    </row>
    <row r="85" spans="1:15" x14ac:dyDescent="0.2">
      <c r="A85" s="204"/>
      <c r="B85" s="205" t="s">
        <v>27</v>
      </c>
      <c r="C85" s="209">
        <v>-21.679058399768728</v>
      </c>
      <c r="D85" s="77">
        <v>-17.737411417992575</v>
      </c>
      <c r="E85" s="77">
        <v>-15.766587927104519</v>
      </c>
      <c r="F85" s="77">
        <v>-19.708234908880652</v>
      </c>
      <c r="G85" s="77">
        <v>-21.679058399768728</v>
      </c>
      <c r="H85" s="77">
        <v>-21.679058399768728</v>
      </c>
      <c r="I85" s="77">
        <v>-27.591528872432914</v>
      </c>
      <c r="J85" s="77">
        <v>-21.679058399768728</v>
      </c>
      <c r="K85" s="77">
        <v>-23.649881890656776</v>
      </c>
      <c r="L85" s="77">
        <v>-25.620705381544838</v>
      </c>
      <c r="M85" s="77">
        <v>-19.708234908880652</v>
      </c>
      <c r="N85" s="77">
        <v>-13.795764436216457</v>
      </c>
      <c r="O85" s="210">
        <v>-250.29458334278431</v>
      </c>
    </row>
    <row r="86" spans="1:15" x14ac:dyDescent="0.2">
      <c r="A86" s="204"/>
      <c r="B86" s="205" t="s">
        <v>50</v>
      </c>
      <c r="C86" s="209">
        <v>87.976748463813266</v>
      </c>
      <c r="D86" s="77">
        <v>71.980976015847205</v>
      </c>
      <c r="E86" s="77">
        <v>63.983089791864188</v>
      </c>
      <c r="F86" s="77">
        <v>79.978862239830235</v>
      </c>
      <c r="G86" s="77">
        <v>87.976748463813266</v>
      </c>
      <c r="H86" s="77">
        <v>87.976748463813266</v>
      </c>
      <c r="I86" s="77">
        <v>111.97040713576233</v>
      </c>
      <c r="J86" s="77">
        <v>87.976748463813266</v>
      </c>
      <c r="K86" s="77">
        <v>95.974634687796282</v>
      </c>
      <c r="L86" s="77">
        <v>103.9725209117793</v>
      </c>
      <c r="M86" s="77">
        <v>79.978862239830235</v>
      </c>
      <c r="N86" s="77">
        <v>55.985203567881165</v>
      </c>
      <c r="O86" s="210">
        <v>1015.7315504458441</v>
      </c>
    </row>
    <row r="87" spans="1:15" x14ac:dyDescent="0.2">
      <c r="A87" s="204"/>
      <c r="B87" s="205" t="s">
        <v>90</v>
      </c>
      <c r="C87" s="209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210">
        <v>0</v>
      </c>
    </row>
    <row r="88" spans="1:15" x14ac:dyDescent="0.2">
      <c r="A88" s="204"/>
      <c r="B88" s="205" t="s">
        <v>92</v>
      </c>
      <c r="C88" s="209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210">
        <v>0</v>
      </c>
    </row>
    <row r="89" spans="1:15" x14ac:dyDescent="0.2">
      <c r="A89" s="194" t="s">
        <v>57</v>
      </c>
      <c r="B89" s="194" t="s">
        <v>71</v>
      </c>
      <c r="C89" s="201">
        <v>0</v>
      </c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202">
        <v>0</v>
      </c>
      <c r="J89" s="202">
        <v>0</v>
      </c>
      <c r="K89" s="202">
        <v>0</v>
      </c>
      <c r="L89" s="202">
        <v>0</v>
      </c>
      <c r="M89" s="202">
        <v>0</v>
      </c>
      <c r="N89" s="202">
        <v>0</v>
      </c>
      <c r="O89" s="203">
        <v>0</v>
      </c>
    </row>
    <row r="90" spans="1:15" x14ac:dyDescent="0.2">
      <c r="A90" s="204"/>
      <c r="B90" s="205" t="s">
        <v>25</v>
      </c>
      <c r="C90" s="209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210">
        <v>0</v>
      </c>
    </row>
    <row r="91" spans="1:15" x14ac:dyDescent="0.2">
      <c r="A91" s="204"/>
      <c r="B91" s="205" t="s">
        <v>26</v>
      </c>
      <c r="C91" s="209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210">
        <v>0</v>
      </c>
    </row>
    <row r="92" spans="1:15" x14ac:dyDescent="0.2">
      <c r="A92" s="204"/>
      <c r="B92" s="205" t="s">
        <v>27</v>
      </c>
      <c r="C92" s="209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210">
        <v>0</v>
      </c>
    </row>
    <row r="93" spans="1:15" x14ac:dyDescent="0.2">
      <c r="A93" s="204"/>
      <c r="B93" s="205" t="s">
        <v>50</v>
      </c>
      <c r="C93" s="209">
        <v>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210">
        <v>0</v>
      </c>
    </row>
    <row r="94" spans="1:15" x14ac:dyDescent="0.2">
      <c r="A94" s="204"/>
      <c r="B94" s="205" t="s">
        <v>90</v>
      </c>
      <c r="C94" s="209">
        <v>0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210">
        <v>0</v>
      </c>
    </row>
    <row r="95" spans="1:15" x14ac:dyDescent="0.2">
      <c r="A95" s="204"/>
      <c r="B95" s="205" t="s">
        <v>92</v>
      </c>
      <c r="C95" s="209">
        <v>0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210">
        <v>0</v>
      </c>
    </row>
    <row r="96" spans="1:15" x14ac:dyDescent="0.2">
      <c r="A96" s="194" t="s">
        <v>58</v>
      </c>
      <c r="B96" s="194" t="s">
        <v>71</v>
      </c>
      <c r="C96" s="201">
        <v>227.8741571277925</v>
      </c>
      <c r="D96" s="202">
        <v>258.66796214506178</v>
      </c>
      <c r="E96" s="202">
        <v>184.76283010361556</v>
      </c>
      <c r="F96" s="202">
        <v>197.08035211052325</v>
      </c>
      <c r="G96" s="202">
        <v>240.19167913470022</v>
      </c>
      <c r="H96" s="202">
        <v>289.461767162331</v>
      </c>
      <c r="I96" s="202">
        <v>326.41433318305411</v>
      </c>
      <c r="J96" s="202">
        <v>320.25557217960028</v>
      </c>
      <c r="K96" s="202">
        <v>277.14424515542333</v>
      </c>
      <c r="L96" s="202">
        <v>252.50920114160792</v>
      </c>
      <c r="M96" s="202">
        <v>178.60406910016169</v>
      </c>
      <c r="N96" s="202">
        <v>221.71539612433867</v>
      </c>
      <c r="O96" s="203">
        <v>2974.6815646682098</v>
      </c>
    </row>
    <row r="97" spans="1:15" x14ac:dyDescent="0.2">
      <c r="A97" s="204"/>
      <c r="B97" s="205" t="s">
        <v>25</v>
      </c>
      <c r="C97" s="209">
        <v>-68.047633159579391</v>
      </c>
      <c r="D97" s="77">
        <v>-77.243259262225195</v>
      </c>
      <c r="E97" s="77">
        <v>-55.173756615875163</v>
      </c>
      <c r="F97" s="77">
        <v>-58.852007056933502</v>
      </c>
      <c r="G97" s="77">
        <v>-71.725883600637701</v>
      </c>
      <c r="H97" s="77">
        <v>-86.438885364871112</v>
      </c>
      <c r="I97" s="77">
        <v>-97.473636688046156</v>
      </c>
      <c r="J97" s="77">
        <v>-95.634511467516916</v>
      </c>
      <c r="K97" s="77">
        <v>-82.760634923812745</v>
      </c>
      <c r="L97" s="77">
        <v>-75.40413404169604</v>
      </c>
      <c r="M97" s="77">
        <v>-53.33463139534598</v>
      </c>
      <c r="N97" s="77">
        <v>-66.208507939050151</v>
      </c>
      <c r="O97" s="210">
        <v>-888.29748151558988</v>
      </c>
    </row>
    <row r="98" spans="1:15" x14ac:dyDescent="0.2">
      <c r="A98" s="204"/>
      <c r="B98" s="205" t="s">
        <v>26</v>
      </c>
      <c r="C98" s="209">
        <v>-4.8728360032790397</v>
      </c>
      <c r="D98" s="77">
        <v>-5.531327355073504</v>
      </c>
      <c r="E98" s="77">
        <v>-3.9509481107667885</v>
      </c>
      <c r="F98" s="77">
        <v>-4.2143446514845744</v>
      </c>
      <c r="G98" s="77">
        <v>-5.1362325439968259</v>
      </c>
      <c r="H98" s="77">
        <v>-6.1898187068679693</v>
      </c>
      <c r="I98" s="77">
        <v>-6.9800083290213273</v>
      </c>
      <c r="J98" s="77">
        <v>-6.8483100586624337</v>
      </c>
      <c r="K98" s="77">
        <v>-5.926422166150183</v>
      </c>
      <c r="L98" s="77">
        <v>-5.3996290847146113</v>
      </c>
      <c r="M98" s="77">
        <v>-3.8192498404078958</v>
      </c>
      <c r="N98" s="77">
        <v>-4.7411377329201461</v>
      </c>
      <c r="O98" s="210">
        <v>-63.610264583345298</v>
      </c>
    </row>
    <row r="99" spans="1:15" x14ac:dyDescent="0.2">
      <c r="A99" s="204"/>
      <c r="B99" s="205" t="s">
        <v>27</v>
      </c>
      <c r="C99" s="209">
        <v>-72.920469162858424</v>
      </c>
      <c r="D99" s="77">
        <v>-82.774586617298695</v>
      </c>
      <c r="E99" s="77">
        <v>-59.124704726641951</v>
      </c>
      <c r="F99" s="77">
        <v>-63.066351708418075</v>
      </c>
      <c r="G99" s="77">
        <v>-76.862116144634527</v>
      </c>
      <c r="H99" s="77">
        <v>-92.628704071739079</v>
      </c>
      <c r="I99" s="77">
        <v>-104.45364501706749</v>
      </c>
      <c r="J99" s="77">
        <v>-102.48282152617935</v>
      </c>
      <c r="K99" s="77">
        <v>-88.687057089962934</v>
      </c>
      <c r="L99" s="77">
        <v>-80.803763126410644</v>
      </c>
      <c r="M99" s="77">
        <v>-57.153881235753879</v>
      </c>
      <c r="N99" s="77">
        <v>-70.949645671970302</v>
      </c>
      <c r="O99" s="210">
        <v>-951.90774609893538</v>
      </c>
    </row>
    <row r="100" spans="1:15" x14ac:dyDescent="0.2">
      <c r="A100" s="204"/>
      <c r="B100" s="205" t="s">
        <v>50</v>
      </c>
      <c r="C100" s="209">
        <v>295.92179028737189</v>
      </c>
      <c r="D100" s="77">
        <v>335.91122140728697</v>
      </c>
      <c r="E100" s="77">
        <v>239.93658671949072</v>
      </c>
      <c r="F100" s="77">
        <v>255.93235916745675</v>
      </c>
      <c r="G100" s="77">
        <v>311.91756273533792</v>
      </c>
      <c r="H100" s="77">
        <v>375.90065252720211</v>
      </c>
      <c r="I100" s="77">
        <v>423.88796987110027</v>
      </c>
      <c r="J100" s="77">
        <v>415.89008364711719</v>
      </c>
      <c r="K100" s="77">
        <v>359.90488007923608</v>
      </c>
      <c r="L100" s="77">
        <v>327.91333518330396</v>
      </c>
      <c r="M100" s="77">
        <v>231.93870049550767</v>
      </c>
      <c r="N100" s="77">
        <v>287.92390406338882</v>
      </c>
      <c r="O100" s="210">
        <v>3862.9790461838002</v>
      </c>
    </row>
    <row r="101" spans="1:15" x14ac:dyDescent="0.2">
      <c r="A101" s="204"/>
      <c r="B101" s="205" t="s">
        <v>90</v>
      </c>
      <c r="C101" s="209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210">
        <v>0</v>
      </c>
    </row>
    <row r="102" spans="1:15" x14ac:dyDescent="0.2">
      <c r="A102" s="204"/>
      <c r="B102" s="205" t="s">
        <v>92</v>
      </c>
      <c r="C102" s="209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210">
        <v>0</v>
      </c>
    </row>
    <row r="103" spans="1:15" x14ac:dyDescent="0.2">
      <c r="A103" s="194" t="s">
        <v>82</v>
      </c>
      <c r="B103" s="194" t="s">
        <v>71</v>
      </c>
      <c r="C103" s="201">
        <v>1299.4985717287627</v>
      </c>
      <c r="D103" s="202">
        <v>1231.7522006907702</v>
      </c>
      <c r="E103" s="202">
        <v>751.36884242136989</v>
      </c>
      <c r="F103" s="202">
        <v>671.30494937646984</v>
      </c>
      <c r="G103" s="202">
        <v>628.19362235229289</v>
      </c>
      <c r="H103" s="202">
        <v>806.7976914524545</v>
      </c>
      <c r="I103" s="202">
        <v>899.17910650426234</v>
      </c>
      <c r="J103" s="202">
        <v>917.65538951462383</v>
      </c>
      <c r="K103" s="202">
        <v>751.36884242136989</v>
      </c>
      <c r="L103" s="202">
        <v>720.57503740410061</v>
      </c>
      <c r="M103" s="202">
        <v>726.73379840755445</v>
      </c>
      <c r="N103" s="202">
        <v>1096.2594586147857</v>
      </c>
      <c r="O103" s="203">
        <v>10500.687510888816</v>
      </c>
    </row>
    <row r="104" spans="1:15" x14ac:dyDescent="0.2">
      <c r="A104" s="204"/>
      <c r="B104" s="205" t="s">
        <v>25</v>
      </c>
      <c r="C104" s="209">
        <v>-388.05542153165516</v>
      </c>
      <c r="D104" s="77">
        <v>-367.82504410583442</v>
      </c>
      <c r="E104" s="77">
        <v>-224.37327690455902</v>
      </c>
      <c r="F104" s="77">
        <v>-200.46464903767969</v>
      </c>
      <c r="G104" s="77">
        <v>-187.59077249397546</v>
      </c>
      <c r="H104" s="77">
        <v>-240.92540388932161</v>
      </c>
      <c r="I104" s="77">
        <v>-268.51228219725908</v>
      </c>
      <c r="J104" s="77">
        <v>-274.02965785884669</v>
      </c>
      <c r="K104" s="77">
        <v>-224.37327690455902</v>
      </c>
      <c r="L104" s="77">
        <v>-215.17765080191316</v>
      </c>
      <c r="M104" s="77">
        <v>-217.01677602244229</v>
      </c>
      <c r="N104" s="77">
        <v>-327.3642892541925</v>
      </c>
      <c r="O104" s="210">
        <v>-3135.7085010022379</v>
      </c>
    </row>
    <row r="105" spans="1:15" x14ac:dyDescent="0.2">
      <c r="A105" s="204"/>
      <c r="B105" s="205" t="s">
        <v>26</v>
      </c>
      <c r="C105" s="209">
        <v>-27.788335045726416</v>
      </c>
      <c r="D105" s="77">
        <v>-26.339654071778593</v>
      </c>
      <c r="E105" s="77">
        <v>-16.067188983784941</v>
      </c>
      <c r="F105" s="77">
        <v>-14.355111469119334</v>
      </c>
      <c r="G105" s="77">
        <v>-13.433223576607082</v>
      </c>
      <c r="H105" s="77">
        <v>-17.252473417014979</v>
      </c>
      <c r="I105" s="77">
        <v>-19.227947472398373</v>
      </c>
      <c r="J105" s="77">
        <v>-19.623042283475051</v>
      </c>
      <c r="K105" s="77">
        <v>-16.067188983784941</v>
      </c>
      <c r="L105" s="77">
        <v>-15.408697631990478</v>
      </c>
      <c r="M105" s="77">
        <v>-15.540395902349371</v>
      </c>
      <c r="N105" s="77">
        <v>-23.442292123882947</v>
      </c>
      <c r="O105" s="210">
        <v>-224.54555096191248</v>
      </c>
    </row>
    <row r="106" spans="1:15" x14ac:dyDescent="0.2">
      <c r="A106" s="204"/>
      <c r="B106" s="205" t="s">
        <v>27</v>
      </c>
      <c r="C106" s="209">
        <v>-415.84375657738155</v>
      </c>
      <c r="D106" s="77">
        <v>-394.16469817761299</v>
      </c>
      <c r="E106" s="77">
        <v>-240.44046588834397</v>
      </c>
      <c r="F106" s="77">
        <v>-214.81976050679901</v>
      </c>
      <c r="G106" s="77">
        <v>-201.02399607058254</v>
      </c>
      <c r="H106" s="77">
        <v>-258.1778773063366</v>
      </c>
      <c r="I106" s="77">
        <v>-287.74022966965748</v>
      </c>
      <c r="J106" s="77">
        <v>-293.65270014232175</v>
      </c>
      <c r="K106" s="77">
        <v>-240.44046588834397</v>
      </c>
      <c r="L106" s="77">
        <v>-230.58634843390365</v>
      </c>
      <c r="M106" s="77">
        <v>-232.55717192479165</v>
      </c>
      <c r="N106" s="77">
        <v>-350.80658137807546</v>
      </c>
      <c r="O106" s="210">
        <v>-3360.2540519641511</v>
      </c>
    </row>
    <row r="107" spans="1:15" x14ac:dyDescent="0.2">
      <c r="A107" s="204"/>
      <c r="B107" s="205" t="s">
        <v>50</v>
      </c>
      <c r="C107" s="209">
        <v>1687.5539932604179</v>
      </c>
      <c r="D107" s="77">
        <v>1599.5772447966046</v>
      </c>
      <c r="E107" s="77">
        <v>975.74211932592891</v>
      </c>
      <c r="F107" s="77">
        <v>871.76959841414953</v>
      </c>
      <c r="G107" s="77">
        <v>815.78439484626836</v>
      </c>
      <c r="H107" s="77">
        <v>1047.7230953417761</v>
      </c>
      <c r="I107" s="77">
        <v>1167.6913887015214</v>
      </c>
      <c r="J107" s="77">
        <v>1191.6850473734705</v>
      </c>
      <c r="K107" s="77">
        <v>975.74211932592891</v>
      </c>
      <c r="L107" s="77">
        <v>935.75268820601377</v>
      </c>
      <c r="M107" s="77">
        <v>943.75057442999673</v>
      </c>
      <c r="N107" s="77">
        <v>1423.6237478689782</v>
      </c>
      <c r="O107" s="210">
        <v>13636.396011891055</v>
      </c>
    </row>
    <row r="108" spans="1:15" x14ac:dyDescent="0.2">
      <c r="A108" s="204"/>
      <c r="B108" s="205" t="s">
        <v>90</v>
      </c>
      <c r="C108" s="209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210">
        <v>0</v>
      </c>
    </row>
    <row r="109" spans="1:15" x14ac:dyDescent="0.2">
      <c r="A109" s="204"/>
      <c r="B109" s="205" t="s">
        <v>92</v>
      </c>
      <c r="C109" s="209">
        <v>0</v>
      </c>
      <c r="D109" s="77">
        <v>0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0</v>
      </c>
      <c r="M109" s="77">
        <v>0</v>
      </c>
      <c r="N109" s="77">
        <v>0</v>
      </c>
      <c r="O109" s="210">
        <v>0</v>
      </c>
    </row>
    <row r="110" spans="1:15" x14ac:dyDescent="0.2">
      <c r="A110" s="194" t="s">
        <v>86</v>
      </c>
      <c r="B110" s="194" t="s">
        <v>71</v>
      </c>
      <c r="C110" s="201">
        <v>289.461767162331</v>
      </c>
      <c r="D110" s="202">
        <v>351.04937719686956</v>
      </c>
      <c r="E110" s="202">
        <v>209.39787411743094</v>
      </c>
      <c r="F110" s="202">
        <v>166.286547093254</v>
      </c>
      <c r="G110" s="202">
        <v>246.35044013815406</v>
      </c>
      <c r="H110" s="202">
        <v>283.30300615887717</v>
      </c>
      <c r="I110" s="202">
        <v>338.73185518996183</v>
      </c>
      <c r="J110" s="202">
        <v>338.73185518996183</v>
      </c>
      <c r="K110" s="202">
        <v>270.98548415196944</v>
      </c>
      <c r="L110" s="202">
        <v>209.39787411743094</v>
      </c>
      <c r="M110" s="202">
        <v>215.55663512088481</v>
      </c>
      <c r="N110" s="202">
        <v>240.19167913470022</v>
      </c>
      <c r="O110" s="203">
        <v>3159.444394771826</v>
      </c>
    </row>
    <row r="111" spans="1:15" x14ac:dyDescent="0.2">
      <c r="A111" s="204"/>
      <c r="B111" s="205" t="s">
        <v>25</v>
      </c>
      <c r="C111" s="209">
        <v>-86.438885364871112</v>
      </c>
      <c r="D111" s="77">
        <v>-104.83013757016278</v>
      </c>
      <c r="E111" s="77">
        <v>-62.53025749799184</v>
      </c>
      <c r="F111" s="77">
        <v>-49.656380954287641</v>
      </c>
      <c r="G111" s="77">
        <v>-73.565008821166884</v>
      </c>
      <c r="H111" s="77">
        <v>-84.599760144341928</v>
      </c>
      <c r="I111" s="77">
        <v>-101.15188712910447</v>
      </c>
      <c r="J111" s="77">
        <v>-101.15188712910447</v>
      </c>
      <c r="K111" s="77">
        <v>-80.921509703283618</v>
      </c>
      <c r="L111" s="77">
        <v>-62.53025749799184</v>
      </c>
      <c r="M111" s="77">
        <v>-64.369382718520995</v>
      </c>
      <c r="N111" s="77">
        <v>-71.725883600637701</v>
      </c>
      <c r="O111" s="210">
        <v>-943.47123813146527</v>
      </c>
    </row>
    <row r="112" spans="1:15" x14ac:dyDescent="0.2">
      <c r="A112" s="204"/>
      <c r="B112" s="205" t="s">
        <v>26</v>
      </c>
      <c r="C112" s="209">
        <v>-6.1898187068679693</v>
      </c>
      <c r="D112" s="77">
        <v>-7.506801410456899</v>
      </c>
      <c r="E112" s="77">
        <v>-4.4777411922023607</v>
      </c>
      <c r="F112" s="77">
        <v>-3.55585329969011</v>
      </c>
      <c r="G112" s="77">
        <v>-5.2679308143557178</v>
      </c>
      <c r="H112" s="77">
        <v>-6.0581204365090766</v>
      </c>
      <c r="I112" s="77">
        <v>-7.2434048697391136</v>
      </c>
      <c r="J112" s="77">
        <v>-7.2434048697391136</v>
      </c>
      <c r="K112" s="77">
        <v>-5.7947238957912903</v>
      </c>
      <c r="L112" s="77">
        <v>-4.4777411922023607</v>
      </c>
      <c r="M112" s="77">
        <v>-4.6094394625612534</v>
      </c>
      <c r="N112" s="77">
        <v>-5.1362325439968259</v>
      </c>
      <c r="O112" s="210">
        <v>-67.561212694112101</v>
      </c>
    </row>
    <row r="113" spans="1:15" x14ac:dyDescent="0.2">
      <c r="A113" s="204"/>
      <c r="B113" s="205" t="s">
        <v>27</v>
      </c>
      <c r="C113" s="209">
        <v>-92.628704071739079</v>
      </c>
      <c r="D113" s="77">
        <v>-112.33693898061968</v>
      </c>
      <c r="E113" s="77">
        <v>-67.007998690194199</v>
      </c>
      <c r="F113" s="77">
        <v>-53.212234253977755</v>
      </c>
      <c r="G113" s="77">
        <v>-78.832939635522607</v>
      </c>
      <c r="H113" s="77">
        <v>-90.657880580851</v>
      </c>
      <c r="I113" s="77">
        <v>-108.39529199884358</v>
      </c>
      <c r="J113" s="77">
        <v>-108.39529199884358</v>
      </c>
      <c r="K113" s="77">
        <v>-86.716233599074911</v>
      </c>
      <c r="L113" s="77">
        <v>-67.007998690194199</v>
      </c>
      <c r="M113" s="77">
        <v>-68.978822181082251</v>
      </c>
      <c r="N113" s="77">
        <v>-76.862116144634527</v>
      </c>
      <c r="O113" s="210">
        <v>-1011.0324508255775</v>
      </c>
    </row>
    <row r="114" spans="1:15" x14ac:dyDescent="0.2">
      <c r="A114" s="204"/>
      <c r="B114" s="205" t="s">
        <v>50</v>
      </c>
      <c r="C114" s="209">
        <v>375.90065252720211</v>
      </c>
      <c r="D114" s="77">
        <v>455.87951476703233</v>
      </c>
      <c r="E114" s="77">
        <v>271.92813161542279</v>
      </c>
      <c r="F114" s="77">
        <v>215.94292804754164</v>
      </c>
      <c r="G114" s="77">
        <v>319.91544895932094</v>
      </c>
      <c r="H114" s="77">
        <v>367.9027663032191</v>
      </c>
      <c r="I114" s="77">
        <v>439.8837423190663</v>
      </c>
      <c r="J114" s="77">
        <v>439.8837423190663</v>
      </c>
      <c r="K114" s="77">
        <v>351.90699385525306</v>
      </c>
      <c r="L114" s="77">
        <v>271.92813161542279</v>
      </c>
      <c r="M114" s="77">
        <v>279.9260178394058</v>
      </c>
      <c r="N114" s="77">
        <v>311.91756273533792</v>
      </c>
      <c r="O114" s="210">
        <v>4102.9156329032903</v>
      </c>
    </row>
    <row r="115" spans="1:15" x14ac:dyDescent="0.2">
      <c r="A115" s="204"/>
      <c r="B115" s="205" t="s">
        <v>90</v>
      </c>
      <c r="C115" s="209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210">
        <v>0</v>
      </c>
    </row>
    <row r="116" spans="1:15" x14ac:dyDescent="0.2">
      <c r="A116" s="204"/>
      <c r="B116" s="205" t="s">
        <v>92</v>
      </c>
      <c r="C116" s="209">
        <v>0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210">
        <v>0</v>
      </c>
    </row>
    <row r="117" spans="1:15" x14ac:dyDescent="0.2">
      <c r="A117" s="194" t="s">
        <v>72</v>
      </c>
      <c r="B117" s="195"/>
      <c r="C117" s="201">
        <v>58015.528652535286</v>
      </c>
      <c r="D117" s="202">
        <v>60540.620663951355</v>
      </c>
      <c r="E117" s="202">
        <v>43135.962068190769</v>
      </c>
      <c r="F117" s="202">
        <v>43006.628087118253</v>
      </c>
      <c r="G117" s="202">
        <v>52737.470472575325</v>
      </c>
      <c r="H117" s="202">
        <v>59949.379607619798</v>
      </c>
      <c r="I117" s="202">
        <v>65640.074774811146</v>
      </c>
      <c r="J117" s="202">
        <v>66058.870523046018</v>
      </c>
      <c r="K117" s="202">
        <v>57239.52476610009</v>
      </c>
      <c r="L117" s="202">
        <v>52084.64180620922</v>
      </c>
      <c r="M117" s="202">
        <v>41737.92332040675</v>
      </c>
      <c r="N117" s="202">
        <v>51899.878976105603</v>
      </c>
      <c r="O117" s="203">
        <v>652046.50371866953</v>
      </c>
    </row>
    <row r="118" spans="1:15" x14ac:dyDescent="0.2">
      <c r="A118" s="194" t="s">
        <v>28</v>
      </c>
      <c r="B118" s="195"/>
      <c r="C118" s="211">
        <v>-17324.559577384796</v>
      </c>
      <c r="D118" s="212">
        <v>-18078.600917801756</v>
      </c>
      <c r="E118" s="212">
        <v>-12881.233044586324</v>
      </c>
      <c r="F118" s="212">
        <v>-12842.61141495521</v>
      </c>
      <c r="G118" s="212">
        <v>-15748.429263391303</v>
      </c>
      <c r="H118" s="212">
        <v>-17902.04489663096</v>
      </c>
      <c r="I118" s="212">
        <v>-19601.396600399912</v>
      </c>
      <c r="J118" s="212">
        <v>-19726.457115395897</v>
      </c>
      <c r="K118" s="212">
        <v>-17092.829799598123</v>
      </c>
      <c r="L118" s="212">
        <v>-15553.481990015203</v>
      </c>
      <c r="M118" s="212">
        <v>-12463.7516195262</v>
      </c>
      <c r="N118" s="212">
        <v>-15498.308233399333</v>
      </c>
      <c r="O118" s="213">
        <v>-194713.70447308497</v>
      </c>
    </row>
    <row r="119" spans="1:15" x14ac:dyDescent="0.2">
      <c r="A119" s="194" t="s">
        <v>29</v>
      </c>
      <c r="B119" s="195"/>
      <c r="C119" s="211">
        <v>-1240.5977067807714</v>
      </c>
      <c r="D119" s="212">
        <v>-1294.5939976279178</v>
      </c>
      <c r="E119" s="212">
        <v>-922.41468559368639</v>
      </c>
      <c r="F119" s="212">
        <v>-919.64902191614965</v>
      </c>
      <c r="G119" s="212">
        <v>-1127.7322890832002</v>
      </c>
      <c r="H119" s="212">
        <v>-1281.950963673464</v>
      </c>
      <c r="I119" s="212">
        <v>-1403.6401654850813</v>
      </c>
      <c r="J119" s="212">
        <v>-1412.5956478694861</v>
      </c>
      <c r="K119" s="212">
        <v>-1224.003724715551</v>
      </c>
      <c r="L119" s="212">
        <v>-1113.7722724251576</v>
      </c>
      <c r="M119" s="212">
        <v>-892.51917822221765</v>
      </c>
      <c r="N119" s="212">
        <v>-1109.8213243143912</v>
      </c>
      <c r="O119" s="213">
        <v>-13943.290977707074</v>
      </c>
    </row>
    <row r="120" spans="1:15" x14ac:dyDescent="0.2">
      <c r="A120" s="194" t="s">
        <v>30</v>
      </c>
      <c r="B120" s="195"/>
      <c r="C120" s="211">
        <v>-18565.157284165572</v>
      </c>
      <c r="D120" s="212">
        <v>-19373.194915429678</v>
      </c>
      <c r="E120" s="212">
        <v>-13803.64773018001</v>
      </c>
      <c r="F120" s="212">
        <v>-13762.260436871358</v>
      </c>
      <c r="G120" s="212">
        <v>-16876.161552474499</v>
      </c>
      <c r="H120" s="212">
        <v>-19183.995860304418</v>
      </c>
      <c r="I120" s="212">
        <v>-21005.036765884994</v>
      </c>
      <c r="J120" s="212">
        <v>-21139.052763265383</v>
      </c>
      <c r="K120" s="212">
        <v>-18316.833524313675</v>
      </c>
      <c r="L120" s="212">
        <v>-16667.254262440361</v>
      </c>
      <c r="M120" s="212">
        <v>-13356.270797748413</v>
      </c>
      <c r="N120" s="212">
        <v>-16608.129557713721</v>
      </c>
      <c r="O120" s="213">
        <v>-208656.99545079214</v>
      </c>
    </row>
    <row r="121" spans="1:15" x14ac:dyDescent="0.2">
      <c r="A121" s="194" t="s">
        <v>62</v>
      </c>
      <c r="B121" s="195"/>
      <c r="C121" s="201">
        <v>75340.088229920089</v>
      </c>
      <c r="D121" s="202">
        <v>78619.221581753111</v>
      </c>
      <c r="E121" s="202">
        <v>56017.195112777103</v>
      </c>
      <c r="F121" s="202">
        <v>55849.239502073448</v>
      </c>
      <c r="G121" s="202">
        <v>68485.899735966639</v>
      </c>
      <c r="H121" s="202">
        <v>77851.424504250754</v>
      </c>
      <c r="I121" s="202">
        <v>85241.471375211069</v>
      </c>
      <c r="J121" s="202">
        <v>85785.327638441915</v>
      </c>
      <c r="K121" s="202">
        <v>74332.354565698246</v>
      </c>
      <c r="L121" s="202">
        <v>67638.123796224434</v>
      </c>
      <c r="M121" s="202">
        <v>54201.674939932949</v>
      </c>
      <c r="N121" s="202">
        <v>67398.187209504933</v>
      </c>
      <c r="O121" s="203">
        <v>846760.20819175476</v>
      </c>
    </row>
    <row r="122" spans="1:15" x14ac:dyDescent="0.2">
      <c r="A122" s="194" t="s">
        <v>91</v>
      </c>
      <c r="B122" s="195"/>
      <c r="C122" s="201">
        <v>0</v>
      </c>
      <c r="D122" s="202">
        <v>0</v>
      </c>
      <c r="E122" s="202">
        <v>0</v>
      </c>
      <c r="F122" s="202">
        <v>0</v>
      </c>
      <c r="G122" s="202">
        <v>0</v>
      </c>
      <c r="H122" s="202">
        <v>0</v>
      </c>
      <c r="I122" s="202">
        <v>0</v>
      </c>
      <c r="J122" s="202">
        <v>0</v>
      </c>
      <c r="K122" s="202">
        <v>0</v>
      </c>
      <c r="L122" s="202">
        <v>0</v>
      </c>
      <c r="M122" s="202">
        <v>0</v>
      </c>
      <c r="N122" s="202">
        <v>0</v>
      </c>
      <c r="O122" s="203">
        <v>0</v>
      </c>
    </row>
    <row r="123" spans="1:15" x14ac:dyDescent="0.2">
      <c r="A123" s="214" t="s">
        <v>93</v>
      </c>
      <c r="B123" s="215"/>
      <c r="C123" s="216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  <c r="M123" s="217">
        <v>0</v>
      </c>
      <c r="N123" s="217">
        <v>0</v>
      </c>
      <c r="O123" s="218">
        <v>0</v>
      </c>
    </row>
    <row r="125" spans="1:15" x14ac:dyDescent="0.2">
      <c r="L125" s="77"/>
      <c r="O125" s="77"/>
    </row>
    <row r="126" spans="1:15" x14ac:dyDescent="0.2">
      <c r="L126" s="77"/>
      <c r="O126" s="77"/>
    </row>
  </sheetData>
  <phoneticPr fontId="6" type="noConversion"/>
  <pageMargins left="0.5" right="0.5" top="0.73" bottom="0.98" header="0.5" footer="0.5"/>
  <pageSetup scale="54" fitToHeight="0" orientation="landscape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220"/>
  <sheetViews>
    <sheetView showGridLines="0" zoomScale="80" zoomScaleNormal="80" zoomScaleSheetLayoutView="100" workbookViewId="0">
      <selection activeCell="M14" sqref="M14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7" customWidth="1"/>
    <col min="5" max="5" width="24.28515625" customWidth="1"/>
    <col min="6" max="6" width="7.7109375" style="87" customWidth="1"/>
    <col min="7" max="7" width="8" style="87" customWidth="1"/>
    <col min="8" max="8" width="11.140625" style="87" bestFit="1" customWidth="1"/>
    <col min="9" max="9" width="11.28515625" style="45" customWidth="1"/>
    <col min="10" max="10" width="13.7109375" style="87" customWidth="1"/>
    <col min="11" max="11" width="13.5703125" style="93" customWidth="1"/>
    <col min="12" max="12" width="14.7109375" style="87" customWidth="1"/>
    <col min="13" max="13" width="13.42578125" style="87" bestFit="1" customWidth="1"/>
    <col min="14" max="17" width="13.42578125" style="87" customWidth="1"/>
    <col min="18" max="18" width="15.5703125" style="180" customWidth="1"/>
  </cols>
  <sheetData>
    <row r="1" spans="2:18" ht="22.5" x14ac:dyDescent="0.2">
      <c r="B1" s="8" t="s">
        <v>97</v>
      </c>
      <c r="C1" s="78"/>
      <c r="D1" s="79"/>
      <c r="E1" s="78"/>
      <c r="F1" s="80" t="s">
        <v>12</v>
      </c>
      <c r="G1" s="81"/>
      <c r="H1" s="82"/>
      <c r="I1" s="83"/>
      <c r="J1" s="190" t="str">
        <f>"True-Up ARR
(CY"&amp;R1&amp;")"</f>
        <v>True-Up ARR
(CY2025)</v>
      </c>
      <c r="K1" s="190" t="str">
        <f>"Projected ARR
(Jan'"&amp;RIGHT(R$1,2)&amp;" - Dec'"&amp;RIGHT(R$1,2)&amp;")"</f>
        <v>Projected ARR
(Jan'25 - Dec'25)</v>
      </c>
      <c r="L1" s="84" t="s">
        <v>46</v>
      </c>
      <c r="M1" s="85"/>
      <c r="N1"/>
      <c r="O1"/>
      <c r="P1"/>
      <c r="Q1"/>
      <c r="R1" s="193">
        <v>2025</v>
      </c>
    </row>
    <row r="2" spans="2:18" x14ac:dyDescent="0.2">
      <c r="B2" s="8" t="s">
        <v>53</v>
      </c>
      <c r="C2" s="78"/>
      <c r="D2" s="79"/>
      <c r="E2" s="78"/>
      <c r="F2" s="86">
        <v>1</v>
      </c>
      <c r="G2" s="219"/>
      <c r="H2" s="219"/>
      <c r="I2" s="88" t="s">
        <v>6</v>
      </c>
      <c r="J2" s="89">
        <v>652025.49340158002</v>
      </c>
      <c r="K2" s="89">
        <v>828261.09735568194</v>
      </c>
      <c r="L2" s="185"/>
      <c r="M2" s="91"/>
      <c r="N2"/>
      <c r="O2"/>
      <c r="P2"/>
      <c r="Q2"/>
      <c r="R2" s="97"/>
    </row>
    <row r="3" spans="2:18" x14ac:dyDescent="0.2">
      <c r="B3" s="8" t="str">
        <f>"for CY"&amp;R1&amp;" SPP Network Transmission Service"</f>
        <v>for CY2025 SPP Network Transmission Service</v>
      </c>
      <c r="C3" s="78"/>
      <c r="D3" s="79"/>
      <c r="E3" s="78"/>
      <c r="F3" s="86"/>
      <c r="G3" s="219"/>
      <c r="H3" s="219"/>
      <c r="I3" s="88" t="s">
        <v>10</v>
      </c>
      <c r="J3" s="92">
        <v>6.1587610034538516</v>
      </c>
      <c r="K3" s="92">
        <v>7.9978862239830235</v>
      </c>
      <c r="L3" s="109" t="str">
        <f>"Inv. Jan-Dec'"&amp;RIGHT(R1,2)</f>
        <v>Inv. Jan-Dec'25</v>
      </c>
      <c r="M3" s="91"/>
      <c r="N3"/>
      <c r="O3"/>
      <c r="P3"/>
      <c r="Q3"/>
      <c r="R3" s="97"/>
    </row>
    <row r="4" spans="2:18" x14ac:dyDescent="0.2">
      <c r="B4" s="7"/>
      <c r="C4" s="78"/>
      <c r="D4" s="79"/>
      <c r="E4" s="78"/>
      <c r="F4" s="86"/>
      <c r="M4" s="94"/>
      <c r="R4" s="97"/>
    </row>
    <row r="5" spans="2:18" x14ac:dyDescent="0.2">
      <c r="B5" s="7"/>
      <c r="C5" s="78"/>
      <c r="D5" s="79"/>
      <c r="E5" s="78"/>
      <c r="F5" s="86"/>
      <c r="I5" s="88"/>
      <c r="K5" s="89">
        <v>0</v>
      </c>
      <c r="L5" s="90"/>
      <c r="M5" s="95"/>
      <c r="N5" s="96"/>
      <c r="O5" s="96"/>
      <c r="P5" s="96"/>
      <c r="Q5" s="96"/>
      <c r="R5" s="97"/>
    </row>
    <row r="6" spans="2:18" x14ac:dyDescent="0.2">
      <c r="B6" s="8" t="s">
        <v>23</v>
      </c>
      <c r="D6" s="79"/>
      <c r="E6" s="78"/>
      <c r="F6" s="98"/>
      <c r="G6" s="14"/>
      <c r="H6" s="99"/>
      <c r="I6" s="100"/>
      <c r="J6" s="101"/>
      <c r="K6" s="92">
        <v>0</v>
      </c>
      <c r="L6" s="109"/>
      <c r="M6" s="95"/>
      <c r="N6" s="96"/>
      <c r="O6" s="96"/>
      <c r="P6" s="96"/>
      <c r="Q6" s="96"/>
      <c r="R6" s="97"/>
    </row>
    <row r="7" spans="2:18" x14ac:dyDescent="0.2">
      <c r="B7" s="7" t="s">
        <v>78</v>
      </c>
      <c r="D7" s="79"/>
      <c r="E7" s="78"/>
      <c r="F7" s="86"/>
      <c r="G7" s="220"/>
      <c r="H7" s="219"/>
      <c r="I7" s="88"/>
      <c r="J7" s="102"/>
      <c r="K7" s="90"/>
      <c r="L7" s="90"/>
      <c r="M7" s="103"/>
      <c r="N7" s="104"/>
      <c r="O7" s="104"/>
      <c r="P7" s="104"/>
      <c r="Q7" s="104"/>
      <c r="R7" s="97"/>
    </row>
    <row r="8" spans="2:18" x14ac:dyDescent="0.2">
      <c r="B8" s="8"/>
      <c r="C8" s="78"/>
      <c r="D8" s="79"/>
      <c r="E8" s="78"/>
      <c r="F8" s="86"/>
      <c r="G8" s="219"/>
      <c r="H8" s="219"/>
      <c r="I8" s="88"/>
      <c r="J8" s="105"/>
      <c r="K8" s="90"/>
      <c r="L8" s="106"/>
      <c r="M8" s="91"/>
      <c r="N8"/>
      <c r="O8"/>
      <c r="P8"/>
      <c r="Q8"/>
      <c r="R8" s="97"/>
    </row>
    <row r="9" spans="2:18" x14ac:dyDescent="0.2">
      <c r="B9" s="107"/>
      <c r="C9" s="78"/>
      <c r="D9" s="79"/>
      <c r="E9" s="78"/>
      <c r="F9" s="86"/>
      <c r="I9" s="108"/>
      <c r="L9" s="109"/>
      <c r="M9" s="91"/>
      <c r="N9"/>
      <c r="O9"/>
      <c r="P9"/>
      <c r="Q9"/>
      <c r="R9" s="97"/>
    </row>
    <row r="10" spans="2:18" ht="13.5" thickBot="1" x14ac:dyDescent="0.25">
      <c r="B10" s="7"/>
      <c r="D10"/>
      <c r="E10" s="110"/>
      <c r="F10" s="111"/>
      <c r="G10" s="112"/>
      <c r="H10" s="113"/>
      <c r="I10" s="114"/>
      <c r="J10" s="115"/>
      <c r="K10" s="115"/>
      <c r="L10" s="116"/>
      <c r="M10" s="117"/>
      <c r="R10" s="118"/>
    </row>
    <row r="11" spans="2:18" x14ac:dyDescent="0.2">
      <c r="B11" s="119" t="s">
        <v>83</v>
      </c>
      <c r="E11" s="110"/>
      <c r="L11" s="120"/>
      <c r="M11"/>
      <c r="N11"/>
      <c r="O11"/>
      <c r="P11"/>
      <c r="Q11"/>
      <c r="R11" s="97"/>
    </row>
    <row r="12" spans="2:18" x14ac:dyDescent="0.2">
      <c r="E12" s="110"/>
      <c r="L12" s="120"/>
      <c r="R12" s="121" t="s">
        <v>61</v>
      </c>
    </row>
    <row r="13" spans="2:18" x14ac:dyDescent="0.2">
      <c r="E13" s="110"/>
      <c r="F13" s="122"/>
      <c r="G13" s="123"/>
      <c r="H13" s="123"/>
      <c r="I13" s="124" t="s">
        <v>59</v>
      </c>
      <c r="J13" s="125">
        <f t="shared" ref="J13:R13" si="0">SUM(J56:J211)</f>
        <v>173079.66048006364</v>
      </c>
      <c r="K13" s="125">
        <f t="shared" si="0"/>
        <v>224764.59655259494</v>
      </c>
      <c r="L13" s="126">
        <f t="shared" si="0"/>
        <v>-51684.93607253128</v>
      </c>
      <c r="M13" s="127">
        <f t="shared" si="0"/>
        <v>-3701.1164918959666</v>
      </c>
      <c r="N13" s="125">
        <f t="shared" si="0"/>
        <v>-55386.052564427308</v>
      </c>
      <c r="O13" s="125">
        <f>SUM(O56:O211)</f>
        <v>0</v>
      </c>
      <c r="P13" s="125">
        <f t="shared" si="0"/>
        <v>0</v>
      </c>
      <c r="Q13" s="125">
        <v>0</v>
      </c>
      <c r="R13" s="126">
        <f t="shared" si="0"/>
        <v>-55386.052564427308</v>
      </c>
    </row>
    <row r="14" spans="2:18" x14ac:dyDescent="0.2">
      <c r="E14" s="110"/>
      <c r="F14" s="128"/>
      <c r="G14" s="128"/>
      <c r="H14" s="128"/>
      <c r="I14" s="129" t="s">
        <v>60</v>
      </c>
      <c r="J14" s="125">
        <f>SUM(J20:J211)</f>
        <v>652046.50371866953</v>
      </c>
      <c r="K14" s="125">
        <f>SUM(K20:K211)</f>
        <v>846760.20819175499</v>
      </c>
      <c r="L14" s="126">
        <f>SUM(L20:L211)</f>
        <v>-194713.70447308512</v>
      </c>
      <c r="M14" s="181">
        <v>-13943.290977707074</v>
      </c>
      <c r="N14" s="125">
        <f>SUM(N20:N211)</f>
        <v>-208656.99545079199</v>
      </c>
      <c r="O14" s="125">
        <f>SUM(O20:O211)</f>
        <v>0</v>
      </c>
      <c r="P14" s="125">
        <f>SUM(P20:P211)</f>
        <v>0</v>
      </c>
      <c r="Q14" s="125">
        <v>0</v>
      </c>
      <c r="R14" s="126">
        <f>SUM(R20:R211)</f>
        <v>-208656.99545079199</v>
      </c>
    </row>
    <row r="15" spans="2:18" x14ac:dyDescent="0.2">
      <c r="B15" s="130" t="s">
        <v>85</v>
      </c>
      <c r="E15" s="110"/>
      <c r="J15" s="45"/>
      <c r="L15" s="120"/>
      <c r="M15" s="131"/>
      <c r="N15" s="131"/>
      <c r="O15" s="131"/>
      <c r="P15" s="131"/>
      <c r="Q15" s="131"/>
      <c r="R15" s="132" t="s">
        <v>20</v>
      </c>
    </row>
    <row r="16" spans="2:18" x14ac:dyDescent="0.2">
      <c r="B16" s="133" t="str">
        <f>"** Actual Trued-Up CY"&amp;R1&amp;" Charge reflects "&amp;R1&amp;" True-UP Rate x MW"</f>
        <v>** Actual Trued-Up CY2025 Charge reflects 2025 True-UP Rate x MW</v>
      </c>
      <c r="E16" s="110"/>
      <c r="G16" s="3"/>
      <c r="J16" s="134"/>
      <c r="L16" s="135" t="s">
        <v>11</v>
      </c>
      <c r="M16" s="131"/>
      <c r="N16" s="131"/>
      <c r="O16" s="131"/>
      <c r="P16" s="131"/>
      <c r="Q16" s="131"/>
      <c r="R16" s="136"/>
    </row>
    <row r="17" spans="1:18" x14ac:dyDescent="0.2">
      <c r="B17" s="137" t="s">
        <v>63</v>
      </c>
      <c r="E17" s="110"/>
      <c r="I17" s="138"/>
      <c r="J17" s="139"/>
      <c r="K17" s="138"/>
      <c r="L17" s="138"/>
      <c r="M17" s="138"/>
      <c r="N17" s="138"/>
      <c r="O17" s="138"/>
      <c r="P17" s="138"/>
      <c r="Q17" s="138"/>
      <c r="R17" s="140"/>
    </row>
    <row r="18" spans="1:18" ht="3.6" customHeight="1" x14ac:dyDescent="0.2">
      <c r="I18" s="141"/>
      <c r="J18" s="139"/>
      <c r="K18" s="141"/>
      <c r="L18" s="141"/>
      <c r="M18" s="142"/>
      <c r="N18" s="142"/>
      <c r="O18" s="142"/>
      <c r="P18" s="142"/>
      <c r="Q18" s="142"/>
      <c r="R18" s="143"/>
    </row>
    <row r="19" spans="1:18" ht="38.25" customHeight="1" x14ac:dyDescent="0.2">
      <c r="B19" s="144" t="s">
        <v>54</v>
      </c>
      <c r="C19" s="186" t="s">
        <v>4</v>
      </c>
      <c r="D19" s="186" t="s">
        <v>5</v>
      </c>
      <c r="E19" s="187" t="s">
        <v>0</v>
      </c>
      <c r="F19" s="188" t="s">
        <v>12</v>
      </c>
      <c r="G19" s="189" t="s">
        <v>1</v>
      </c>
      <c r="H19" s="145" t="s">
        <v>49</v>
      </c>
      <c r="I19" s="145" t="s">
        <v>47</v>
      </c>
      <c r="J19" s="146" t="str">
        <f>"True-Up Charge"</f>
        <v>True-Up Charge</v>
      </c>
      <c r="K19" s="146" t="s">
        <v>48</v>
      </c>
      <c r="L19" s="147" t="s">
        <v>3</v>
      </c>
      <c r="M19" s="148" t="s">
        <v>7</v>
      </c>
      <c r="N19" s="149" t="s">
        <v>99</v>
      </c>
      <c r="O19" s="149" t="s">
        <v>87</v>
      </c>
      <c r="P19" s="149" t="s">
        <v>88</v>
      </c>
      <c r="Q19" s="149" t="s">
        <v>89</v>
      </c>
      <c r="R19" s="150" t="s">
        <v>2</v>
      </c>
    </row>
    <row r="20" spans="1:18" ht="12.75" customHeight="1" x14ac:dyDescent="0.2">
      <c r="A20" s="87">
        <v>1</v>
      </c>
      <c r="B20" s="151">
        <f>DATE($R$1,A20,1)</f>
        <v>45658</v>
      </c>
      <c r="C20" s="182">
        <v>45693</v>
      </c>
      <c r="D20" s="182">
        <v>45712</v>
      </c>
      <c r="E20" s="152" t="s">
        <v>21</v>
      </c>
      <c r="F20" s="87">
        <v>9</v>
      </c>
      <c r="G20" s="153">
        <v>2941</v>
      </c>
      <c r="H20" s="154">
        <f>+$K$3</f>
        <v>7.9978862239830235</v>
      </c>
      <c r="I20" s="154">
        <f t="shared" ref="I20:I63" si="1">$J$3</f>
        <v>6.1587610034538516</v>
      </c>
      <c r="J20" s="105">
        <f t="shared" ref="J20:J108" si="2">+$G20*I20</f>
        <v>18112.916111157778</v>
      </c>
      <c r="K20" s="155">
        <f>+$G20*H20</f>
        <v>23521.783384734073</v>
      </c>
      <c r="L20" s="156">
        <f t="shared" ref="L20:L34" si="3">+J20-K20</f>
        <v>-5408.8672735762957</v>
      </c>
      <c r="M20" s="105">
        <f>G20/$G$212*$M$14</f>
        <v>-387.32461312550424</v>
      </c>
      <c r="N20" s="157">
        <f>SUM(L20:M20)</f>
        <v>-5796.1918867018003</v>
      </c>
      <c r="O20" s="105">
        <f>+$P$3</f>
        <v>0</v>
      </c>
      <c r="P20" s="105">
        <f>+G20*O20</f>
        <v>0</v>
      </c>
      <c r="Q20" s="105">
        <v>0</v>
      </c>
      <c r="R20" s="157">
        <f>+N20-Q20</f>
        <v>-5796.1918867018003</v>
      </c>
    </row>
    <row r="21" spans="1:18" x14ac:dyDescent="0.2">
      <c r="A21" s="87">
        <v>2</v>
      </c>
      <c r="B21" s="151">
        <f t="shared" ref="B21:B108" si="4">DATE($R$1,A21,1)</f>
        <v>45689</v>
      </c>
      <c r="C21" s="182">
        <v>45721</v>
      </c>
      <c r="D21" s="182">
        <v>45740</v>
      </c>
      <c r="E21" s="158" t="s">
        <v>21</v>
      </c>
      <c r="F21" s="87">
        <v>9</v>
      </c>
      <c r="G21" s="153">
        <v>3221</v>
      </c>
      <c r="H21" s="154">
        <f t="shared" ref="H21:H84" si="5">+$K$3</f>
        <v>7.9978862239830235</v>
      </c>
      <c r="I21" s="154">
        <f t="shared" si="1"/>
        <v>6.1587610034538516</v>
      </c>
      <c r="J21" s="105">
        <f t="shared" si="2"/>
        <v>19837.369192124857</v>
      </c>
      <c r="K21" s="155">
        <f t="shared" ref="K21:K33" si="6">+$G21*H21</f>
        <v>25761.191527449319</v>
      </c>
      <c r="L21" s="156">
        <f t="shared" si="3"/>
        <v>-5923.8223353244612</v>
      </c>
      <c r="M21" s="105">
        <f t="shared" ref="M21:M84" si="7">G21/$G$212*$M$14</f>
        <v>-424.20012882599423</v>
      </c>
      <c r="N21" s="157">
        <f t="shared" ref="N21:N84" si="8">SUM(L21:M21)</f>
        <v>-6348.0224641504556</v>
      </c>
      <c r="O21" s="105">
        <f t="shared" ref="O21:O84" si="9">+$P$3</f>
        <v>0</v>
      </c>
      <c r="P21" s="105">
        <f t="shared" ref="P21:P84" si="10">+G21*O21</f>
        <v>0</v>
      </c>
      <c r="Q21" s="105">
        <v>0</v>
      </c>
      <c r="R21" s="157">
        <f t="shared" ref="R21:R84" si="11">+N21-Q21</f>
        <v>-6348.0224641504556</v>
      </c>
    </row>
    <row r="22" spans="1:18" x14ac:dyDescent="0.2">
      <c r="A22" s="87">
        <v>3</v>
      </c>
      <c r="B22" s="151">
        <f t="shared" si="4"/>
        <v>45717</v>
      </c>
      <c r="C22" s="182">
        <v>45750</v>
      </c>
      <c r="D22" s="182">
        <v>45771</v>
      </c>
      <c r="E22" s="158" t="s">
        <v>21</v>
      </c>
      <c r="F22" s="87">
        <v>9</v>
      </c>
      <c r="G22" s="153">
        <v>2419</v>
      </c>
      <c r="H22" s="154">
        <f t="shared" si="5"/>
        <v>7.9978862239830235</v>
      </c>
      <c r="I22" s="154">
        <f t="shared" si="1"/>
        <v>6.1587610034538516</v>
      </c>
      <c r="J22" s="105">
        <f t="shared" si="2"/>
        <v>14898.042867354867</v>
      </c>
      <c r="K22" s="155">
        <f t="shared" si="6"/>
        <v>19346.886775814935</v>
      </c>
      <c r="L22" s="156">
        <f t="shared" si="3"/>
        <v>-4448.8439084600686</v>
      </c>
      <c r="M22" s="105">
        <f t="shared" si="7"/>
        <v>-318.5781159981621</v>
      </c>
      <c r="N22" s="157">
        <f t="shared" si="8"/>
        <v>-4767.4220244582311</v>
      </c>
      <c r="O22" s="105">
        <f t="shared" si="9"/>
        <v>0</v>
      </c>
      <c r="P22" s="105">
        <f t="shared" si="10"/>
        <v>0</v>
      </c>
      <c r="Q22" s="105">
        <v>0</v>
      </c>
      <c r="R22" s="157">
        <f t="shared" si="11"/>
        <v>-4767.4220244582311</v>
      </c>
    </row>
    <row r="23" spans="1:18" x14ac:dyDescent="0.2">
      <c r="A23" s="87">
        <v>4</v>
      </c>
      <c r="B23" s="151">
        <f t="shared" si="4"/>
        <v>45748</v>
      </c>
      <c r="C23" s="182">
        <v>45782</v>
      </c>
      <c r="D23" s="182">
        <v>45803</v>
      </c>
      <c r="E23" s="158" t="s">
        <v>21</v>
      </c>
      <c r="F23" s="87">
        <v>9</v>
      </c>
      <c r="G23" s="153">
        <v>2717</v>
      </c>
      <c r="H23" s="154">
        <f t="shared" si="5"/>
        <v>7.9978862239830235</v>
      </c>
      <c r="I23" s="154">
        <f t="shared" si="1"/>
        <v>6.1587610034538516</v>
      </c>
      <c r="J23" s="105">
        <f t="shared" si="2"/>
        <v>16733.353646384116</v>
      </c>
      <c r="K23" s="155">
        <f t="shared" si="6"/>
        <v>21730.256870561876</v>
      </c>
      <c r="L23" s="156">
        <f t="shared" si="3"/>
        <v>-4996.9032241777604</v>
      </c>
      <c r="M23" s="105">
        <f t="shared" si="7"/>
        <v>-357.82420056511216</v>
      </c>
      <c r="N23" s="157">
        <f t="shared" si="8"/>
        <v>-5354.7274247428722</v>
      </c>
      <c r="O23" s="105">
        <f t="shared" si="9"/>
        <v>0</v>
      </c>
      <c r="P23" s="105">
        <f t="shared" si="10"/>
        <v>0</v>
      </c>
      <c r="Q23" s="105">
        <v>0</v>
      </c>
      <c r="R23" s="157">
        <f t="shared" si="11"/>
        <v>-5354.7274247428722</v>
      </c>
    </row>
    <row r="24" spans="1:18" ht="12" customHeight="1" x14ac:dyDescent="0.2">
      <c r="A24" s="87">
        <v>5</v>
      </c>
      <c r="B24" s="151">
        <f t="shared" si="4"/>
        <v>45778</v>
      </c>
      <c r="C24" s="182">
        <v>45812</v>
      </c>
      <c r="D24" s="182">
        <v>45832</v>
      </c>
      <c r="E24" s="1" t="s">
        <v>21</v>
      </c>
      <c r="F24" s="87">
        <v>9</v>
      </c>
      <c r="G24" s="153">
        <v>3378</v>
      </c>
      <c r="H24" s="154">
        <f t="shared" si="5"/>
        <v>7.9978862239830235</v>
      </c>
      <c r="I24" s="154">
        <f t="shared" si="1"/>
        <v>6.1587610034538516</v>
      </c>
      <c r="J24" s="105">
        <f t="shared" si="2"/>
        <v>20804.29466966711</v>
      </c>
      <c r="K24" s="155">
        <f t="shared" si="6"/>
        <v>27016.859664614654</v>
      </c>
      <c r="L24" s="156">
        <f t="shared" si="3"/>
        <v>-6212.5649949475446</v>
      </c>
      <c r="M24" s="105">
        <f t="shared" si="7"/>
        <v>-444.8767572723404</v>
      </c>
      <c r="N24" s="157">
        <f t="shared" si="8"/>
        <v>-6657.4417522198846</v>
      </c>
      <c r="O24" s="105">
        <f t="shared" si="9"/>
        <v>0</v>
      </c>
      <c r="P24" s="105">
        <f t="shared" si="10"/>
        <v>0</v>
      </c>
      <c r="Q24" s="105">
        <v>0</v>
      </c>
      <c r="R24" s="157">
        <f t="shared" si="11"/>
        <v>-6657.4417522198846</v>
      </c>
    </row>
    <row r="25" spans="1:18" x14ac:dyDescent="0.2">
      <c r="A25" s="87">
        <v>6</v>
      </c>
      <c r="B25" s="151">
        <f t="shared" si="4"/>
        <v>45809</v>
      </c>
      <c r="C25" s="182">
        <v>45841</v>
      </c>
      <c r="D25" s="182">
        <v>45862</v>
      </c>
      <c r="E25" s="1" t="s">
        <v>21</v>
      </c>
      <c r="F25" s="87">
        <v>9</v>
      </c>
      <c r="G25" s="153">
        <v>3824</v>
      </c>
      <c r="H25" s="154">
        <f t="shared" si="5"/>
        <v>7.9978862239830235</v>
      </c>
      <c r="I25" s="154">
        <f t="shared" si="1"/>
        <v>6.1587610034538516</v>
      </c>
      <c r="J25" s="105">
        <f t="shared" si="2"/>
        <v>23551.102077207528</v>
      </c>
      <c r="K25" s="155">
        <f t="shared" si="6"/>
        <v>30583.916920511081</v>
      </c>
      <c r="L25" s="156">
        <f t="shared" si="3"/>
        <v>-7032.8148433035531</v>
      </c>
      <c r="M25" s="105">
        <f t="shared" si="7"/>
        <v>-503.61418585240671</v>
      </c>
      <c r="N25" s="157">
        <f t="shared" si="8"/>
        <v>-7536.4290291559601</v>
      </c>
      <c r="O25" s="105">
        <f t="shared" si="9"/>
        <v>0</v>
      </c>
      <c r="P25" s="105">
        <f t="shared" si="10"/>
        <v>0</v>
      </c>
      <c r="Q25" s="105">
        <v>0</v>
      </c>
      <c r="R25" s="157">
        <f t="shared" si="11"/>
        <v>-7536.4290291559601</v>
      </c>
    </row>
    <row r="26" spans="1:18" x14ac:dyDescent="0.2">
      <c r="A26" s="87">
        <v>7</v>
      </c>
      <c r="B26" s="151">
        <f t="shared" si="4"/>
        <v>45839</v>
      </c>
      <c r="C26" s="182">
        <v>45874</v>
      </c>
      <c r="D26" s="182">
        <v>45894</v>
      </c>
      <c r="E26" s="1" t="s">
        <v>21</v>
      </c>
      <c r="F26" s="87">
        <v>9</v>
      </c>
      <c r="G26" s="153">
        <v>4110</v>
      </c>
      <c r="H26" s="154">
        <f t="shared" si="5"/>
        <v>7.9978862239830235</v>
      </c>
      <c r="I26" s="154">
        <f t="shared" si="1"/>
        <v>6.1587610034538516</v>
      </c>
      <c r="J26" s="105">
        <f t="shared" si="2"/>
        <v>25312.50772419533</v>
      </c>
      <c r="K26" s="155">
        <f t="shared" si="6"/>
        <v>32871.312380570227</v>
      </c>
      <c r="L26" s="156">
        <f t="shared" si="3"/>
        <v>-7558.8046563748976</v>
      </c>
      <c r="M26" s="105">
        <f t="shared" si="7"/>
        <v>-541.27989117505001</v>
      </c>
      <c r="N26" s="157">
        <f t="shared" si="8"/>
        <v>-8100.0845475499473</v>
      </c>
      <c r="O26" s="105">
        <f t="shared" si="9"/>
        <v>0</v>
      </c>
      <c r="P26" s="105">
        <f t="shared" si="10"/>
        <v>0</v>
      </c>
      <c r="Q26" s="105">
        <v>0</v>
      </c>
      <c r="R26" s="157">
        <f t="shared" si="11"/>
        <v>-8100.0845475499473</v>
      </c>
    </row>
    <row r="27" spans="1:18" x14ac:dyDescent="0.2">
      <c r="A27" s="87">
        <v>8</v>
      </c>
      <c r="B27" s="151">
        <f t="shared" si="4"/>
        <v>45870</v>
      </c>
      <c r="C27" s="182">
        <v>45904</v>
      </c>
      <c r="D27" s="182">
        <v>45924</v>
      </c>
      <c r="E27" s="1" t="s">
        <v>21</v>
      </c>
      <c r="F27" s="87">
        <v>9</v>
      </c>
      <c r="G27" s="153">
        <v>4096</v>
      </c>
      <c r="H27" s="154">
        <f t="shared" si="5"/>
        <v>7.9978862239830235</v>
      </c>
      <c r="I27" s="154">
        <f t="shared" si="1"/>
        <v>6.1587610034538516</v>
      </c>
      <c r="J27" s="105">
        <f t="shared" si="2"/>
        <v>25226.285070146976</v>
      </c>
      <c r="K27" s="155">
        <f t="shared" si="6"/>
        <v>32759.341973434464</v>
      </c>
      <c r="L27" s="156">
        <f t="shared" si="3"/>
        <v>-7533.0569032874882</v>
      </c>
      <c r="M27" s="105">
        <f t="shared" si="7"/>
        <v>-539.43611539002552</v>
      </c>
      <c r="N27" s="157">
        <f t="shared" si="8"/>
        <v>-8072.4930186775136</v>
      </c>
      <c r="O27" s="105">
        <f t="shared" si="9"/>
        <v>0</v>
      </c>
      <c r="P27" s="105">
        <f t="shared" si="10"/>
        <v>0</v>
      </c>
      <c r="Q27" s="105">
        <v>0</v>
      </c>
      <c r="R27" s="157">
        <f t="shared" si="11"/>
        <v>-8072.4930186775136</v>
      </c>
    </row>
    <row r="28" spans="1:18" x14ac:dyDescent="0.2">
      <c r="A28" s="87">
        <v>9</v>
      </c>
      <c r="B28" s="151">
        <f t="shared" si="4"/>
        <v>45901</v>
      </c>
      <c r="C28" s="182">
        <v>45933</v>
      </c>
      <c r="D28" s="182">
        <v>45954</v>
      </c>
      <c r="E28" s="1" t="s">
        <v>21</v>
      </c>
      <c r="F28" s="87">
        <v>9</v>
      </c>
      <c r="G28" s="153">
        <v>3657</v>
      </c>
      <c r="H28" s="154">
        <f t="shared" si="5"/>
        <v>7.9978862239830235</v>
      </c>
      <c r="I28" s="154">
        <f t="shared" si="1"/>
        <v>6.1587610034538516</v>
      </c>
      <c r="J28" s="105">
        <f t="shared" si="2"/>
        <v>22522.588989630734</v>
      </c>
      <c r="K28" s="155">
        <f t="shared" si="6"/>
        <v>29248.269921105915</v>
      </c>
      <c r="L28" s="156">
        <f t="shared" si="3"/>
        <v>-6725.6809314751808</v>
      </c>
      <c r="M28" s="105">
        <f t="shared" si="7"/>
        <v>-481.62057470247157</v>
      </c>
      <c r="N28" s="157">
        <f t="shared" si="8"/>
        <v>-7207.3015061776523</v>
      </c>
      <c r="O28" s="105">
        <f t="shared" si="9"/>
        <v>0</v>
      </c>
      <c r="P28" s="105">
        <f t="shared" si="10"/>
        <v>0</v>
      </c>
      <c r="Q28" s="105">
        <v>0</v>
      </c>
      <c r="R28" s="157">
        <f t="shared" si="11"/>
        <v>-7207.3015061776523</v>
      </c>
    </row>
    <row r="29" spans="1:18" x14ac:dyDescent="0.2">
      <c r="A29" s="87">
        <v>10</v>
      </c>
      <c r="B29" s="151">
        <f t="shared" si="4"/>
        <v>45931</v>
      </c>
      <c r="C29" s="182">
        <v>45966</v>
      </c>
      <c r="D29" s="182">
        <v>45985</v>
      </c>
      <c r="E29" s="1" t="s">
        <v>21</v>
      </c>
      <c r="F29" s="87">
        <v>9</v>
      </c>
      <c r="G29" s="153">
        <v>3261</v>
      </c>
      <c r="H29" s="154">
        <f t="shared" si="5"/>
        <v>7.9978862239830235</v>
      </c>
      <c r="I29" s="154">
        <f t="shared" si="1"/>
        <v>6.1587610034538516</v>
      </c>
      <c r="J29" s="105">
        <f t="shared" si="2"/>
        <v>20083.719632263012</v>
      </c>
      <c r="K29" s="155">
        <f t="shared" si="6"/>
        <v>26081.106976408639</v>
      </c>
      <c r="L29" s="156">
        <f t="shared" si="3"/>
        <v>-5997.3873441456271</v>
      </c>
      <c r="M29" s="105">
        <f t="shared" si="7"/>
        <v>-429.46805964034996</v>
      </c>
      <c r="N29" s="157">
        <f t="shared" si="8"/>
        <v>-6426.8554037859767</v>
      </c>
      <c r="O29" s="105">
        <f t="shared" si="9"/>
        <v>0</v>
      </c>
      <c r="P29" s="105">
        <f t="shared" si="10"/>
        <v>0</v>
      </c>
      <c r="Q29" s="105">
        <v>0</v>
      </c>
      <c r="R29" s="157">
        <f t="shared" si="11"/>
        <v>-6426.8554037859767</v>
      </c>
    </row>
    <row r="30" spans="1:18" x14ac:dyDescent="0.2">
      <c r="A30" s="87">
        <v>11</v>
      </c>
      <c r="B30" s="151">
        <f t="shared" si="4"/>
        <v>45962</v>
      </c>
      <c r="C30" s="182">
        <v>45994</v>
      </c>
      <c r="D30" s="182">
        <v>46015</v>
      </c>
      <c r="E30" s="1" t="s">
        <v>21</v>
      </c>
      <c r="F30" s="87">
        <v>9</v>
      </c>
      <c r="G30" s="153">
        <v>2449</v>
      </c>
      <c r="H30" s="154">
        <f t="shared" si="5"/>
        <v>7.9978862239830235</v>
      </c>
      <c r="I30" s="154">
        <f t="shared" si="1"/>
        <v>6.1587610034538516</v>
      </c>
      <c r="J30" s="105">
        <f t="shared" si="2"/>
        <v>15082.805697458483</v>
      </c>
      <c r="K30" s="155">
        <f t="shared" si="6"/>
        <v>19586.823362534426</v>
      </c>
      <c r="L30" s="156">
        <f t="shared" si="3"/>
        <v>-4504.0176650759422</v>
      </c>
      <c r="M30" s="105">
        <f t="shared" si="7"/>
        <v>-322.52906410892888</v>
      </c>
      <c r="N30" s="157">
        <f t="shared" si="8"/>
        <v>-4826.5467291848709</v>
      </c>
      <c r="O30" s="105">
        <f t="shared" si="9"/>
        <v>0</v>
      </c>
      <c r="P30" s="105">
        <f t="shared" si="10"/>
        <v>0</v>
      </c>
      <c r="Q30" s="105">
        <v>0</v>
      </c>
      <c r="R30" s="157">
        <f t="shared" si="11"/>
        <v>-4826.5467291848709</v>
      </c>
    </row>
    <row r="31" spans="1:18" x14ac:dyDescent="0.2">
      <c r="A31" s="87">
        <v>12</v>
      </c>
      <c r="B31" s="151">
        <f t="shared" si="4"/>
        <v>45992</v>
      </c>
      <c r="C31" s="183">
        <v>46028</v>
      </c>
      <c r="D31" s="184">
        <v>46048</v>
      </c>
      <c r="E31" s="1" t="s">
        <v>21</v>
      </c>
      <c r="F31" s="87">
        <v>9</v>
      </c>
      <c r="G31" s="191">
        <v>2817</v>
      </c>
      <c r="H31" s="159">
        <f t="shared" si="5"/>
        <v>7.9978862239830235</v>
      </c>
      <c r="I31" s="159">
        <f t="shared" si="1"/>
        <v>6.1587610034538516</v>
      </c>
      <c r="J31" s="160">
        <f t="shared" si="2"/>
        <v>17349.229746729499</v>
      </c>
      <c r="K31" s="161">
        <f t="shared" si="6"/>
        <v>22530.045492960176</v>
      </c>
      <c r="L31" s="162">
        <f t="shared" si="3"/>
        <v>-5180.8157462306772</v>
      </c>
      <c r="M31" s="160">
        <f t="shared" si="7"/>
        <v>-370.99402760100145</v>
      </c>
      <c r="N31" s="192">
        <f t="shared" si="8"/>
        <v>-5551.8097738316783</v>
      </c>
      <c r="O31" s="160">
        <f t="shared" si="9"/>
        <v>0</v>
      </c>
      <c r="P31" s="160">
        <f t="shared" si="10"/>
        <v>0</v>
      </c>
      <c r="Q31" s="160">
        <v>0</v>
      </c>
      <c r="R31" s="192">
        <f t="shared" si="11"/>
        <v>-5551.8097738316783</v>
      </c>
    </row>
    <row r="32" spans="1:18" x14ac:dyDescent="0.2">
      <c r="A32" s="87">
        <v>1</v>
      </c>
      <c r="B32" s="163">
        <f t="shared" si="4"/>
        <v>45658</v>
      </c>
      <c r="C32" s="164">
        <f t="shared" ref="C32:D43" si="12">+C20</f>
        <v>45693</v>
      </c>
      <c r="D32" s="164">
        <f t="shared" si="12"/>
        <v>45712</v>
      </c>
      <c r="E32" s="165" t="s">
        <v>22</v>
      </c>
      <c r="F32" s="166">
        <v>9</v>
      </c>
      <c r="G32" s="153">
        <v>3414</v>
      </c>
      <c r="H32" s="154">
        <f t="shared" si="5"/>
        <v>7.9978862239830235</v>
      </c>
      <c r="I32" s="154">
        <f t="shared" si="1"/>
        <v>6.1587610034538516</v>
      </c>
      <c r="J32" s="105">
        <f t="shared" si="2"/>
        <v>21026.010065791448</v>
      </c>
      <c r="K32" s="155">
        <f t="shared" si="6"/>
        <v>27304.783568678042</v>
      </c>
      <c r="L32" s="156">
        <f t="shared" si="3"/>
        <v>-6278.7735028865936</v>
      </c>
      <c r="M32" s="105">
        <f t="shared" si="7"/>
        <v>-449.61789500526061</v>
      </c>
      <c r="N32" s="157">
        <f t="shared" si="8"/>
        <v>-6728.3913978918545</v>
      </c>
      <c r="O32" s="105">
        <f t="shared" si="9"/>
        <v>0</v>
      </c>
      <c r="P32" s="105">
        <f t="shared" si="10"/>
        <v>0</v>
      </c>
      <c r="Q32" s="105">
        <v>0</v>
      </c>
      <c r="R32" s="157">
        <f t="shared" si="11"/>
        <v>-6728.3913978918545</v>
      </c>
    </row>
    <row r="33" spans="1:18" x14ac:dyDescent="0.2">
      <c r="A33" s="87">
        <v>2</v>
      </c>
      <c r="B33" s="151">
        <f t="shared" si="4"/>
        <v>45689</v>
      </c>
      <c r="C33" s="167">
        <f t="shared" si="12"/>
        <v>45721</v>
      </c>
      <c r="D33" s="167">
        <f t="shared" si="12"/>
        <v>45740</v>
      </c>
      <c r="E33" s="158" t="s">
        <v>22</v>
      </c>
      <c r="F33" s="87">
        <v>9</v>
      </c>
      <c r="G33" s="153">
        <v>3330</v>
      </c>
      <c r="H33" s="154">
        <f t="shared" si="5"/>
        <v>7.9978862239830235</v>
      </c>
      <c r="I33" s="154">
        <f t="shared" si="1"/>
        <v>6.1587610034538516</v>
      </c>
      <c r="J33" s="105">
        <f t="shared" si="2"/>
        <v>20508.674141501328</v>
      </c>
      <c r="K33" s="155">
        <f t="shared" si="6"/>
        <v>26632.961125863469</v>
      </c>
      <c r="L33" s="156">
        <f t="shared" si="3"/>
        <v>-6124.2869843621411</v>
      </c>
      <c r="M33" s="105">
        <f t="shared" si="7"/>
        <v>-438.55524029511355</v>
      </c>
      <c r="N33" s="157">
        <f t="shared" si="8"/>
        <v>-6562.8422246572545</v>
      </c>
      <c r="O33" s="105">
        <f t="shared" si="9"/>
        <v>0</v>
      </c>
      <c r="P33" s="105">
        <f t="shared" si="10"/>
        <v>0</v>
      </c>
      <c r="Q33" s="105">
        <v>0</v>
      </c>
      <c r="R33" s="157">
        <f t="shared" si="11"/>
        <v>-6562.8422246572545</v>
      </c>
    </row>
    <row r="34" spans="1:18" x14ac:dyDescent="0.2">
      <c r="A34" s="87">
        <v>3</v>
      </c>
      <c r="B34" s="151">
        <f t="shared" si="4"/>
        <v>45717</v>
      </c>
      <c r="C34" s="167">
        <f t="shared" si="12"/>
        <v>45750</v>
      </c>
      <c r="D34" s="167">
        <f t="shared" si="12"/>
        <v>45771</v>
      </c>
      <c r="E34" s="158" t="s">
        <v>22</v>
      </c>
      <c r="F34" s="87">
        <v>9</v>
      </c>
      <c r="G34" s="153">
        <v>2483</v>
      </c>
      <c r="H34" s="154">
        <f t="shared" si="5"/>
        <v>7.9978862239830235</v>
      </c>
      <c r="I34" s="154">
        <f t="shared" si="1"/>
        <v>6.1587610034538516</v>
      </c>
      <c r="J34" s="105">
        <f t="shared" si="2"/>
        <v>15292.203571575914</v>
      </c>
      <c r="K34" s="155">
        <f t="shared" ref="K34:K93" si="13">+$G34*H34</f>
        <v>19858.751494149848</v>
      </c>
      <c r="L34" s="156">
        <f t="shared" si="3"/>
        <v>-4566.5479225739346</v>
      </c>
      <c r="M34" s="105">
        <f t="shared" si="7"/>
        <v>-327.00680530113124</v>
      </c>
      <c r="N34" s="157">
        <f t="shared" si="8"/>
        <v>-4893.5547278750655</v>
      </c>
      <c r="O34" s="105">
        <f t="shared" si="9"/>
        <v>0</v>
      </c>
      <c r="P34" s="105">
        <f t="shared" si="10"/>
        <v>0</v>
      </c>
      <c r="Q34" s="105">
        <v>0</v>
      </c>
      <c r="R34" s="157">
        <f t="shared" si="11"/>
        <v>-4893.5547278750655</v>
      </c>
    </row>
    <row r="35" spans="1:18" x14ac:dyDescent="0.2">
      <c r="A35" s="87">
        <v>4</v>
      </c>
      <c r="B35" s="151">
        <f t="shared" si="4"/>
        <v>45748</v>
      </c>
      <c r="C35" s="167">
        <f t="shared" si="12"/>
        <v>45782</v>
      </c>
      <c r="D35" s="167">
        <f t="shared" si="12"/>
        <v>45803</v>
      </c>
      <c r="E35" s="158" t="s">
        <v>22</v>
      </c>
      <c r="F35" s="87">
        <v>9</v>
      </c>
      <c r="G35" s="153">
        <v>2549</v>
      </c>
      <c r="H35" s="154">
        <f t="shared" si="5"/>
        <v>7.9978862239830235</v>
      </c>
      <c r="I35" s="154">
        <f t="shared" si="1"/>
        <v>6.1587610034538516</v>
      </c>
      <c r="J35" s="105">
        <f t="shared" si="2"/>
        <v>15698.681797803867</v>
      </c>
      <c r="K35" s="155">
        <f t="shared" si="13"/>
        <v>20386.611984932726</v>
      </c>
      <c r="L35" s="156">
        <f t="shared" ref="L35:L57" si="14">+J35-K35</f>
        <v>-4687.930187128859</v>
      </c>
      <c r="M35" s="105">
        <f t="shared" si="7"/>
        <v>-335.69889114481816</v>
      </c>
      <c r="N35" s="157">
        <f t="shared" si="8"/>
        <v>-5023.6290782736769</v>
      </c>
      <c r="O35" s="105">
        <f t="shared" si="9"/>
        <v>0</v>
      </c>
      <c r="P35" s="105">
        <f t="shared" si="10"/>
        <v>0</v>
      </c>
      <c r="Q35" s="105">
        <v>0</v>
      </c>
      <c r="R35" s="157">
        <f t="shared" si="11"/>
        <v>-5023.6290782736769</v>
      </c>
    </row>
    <row r="36" spans="1:18" x14ac:dyDescent="0.2">
      <c r="A36" s="87">
        <v>5</v>
      </c>
      <c r="B36" s="151">
        <f t="shared" si="4"/>
        <v>45778</v>
      </c>
      <c r="C36" s="167">
        <f t="shared" si="12"/>
        <v>45812</v>
      </c>
      <c r="D36" s="167">
        <f t="shared" si="12"/>
        <v>45832</v>
      </c>
      <c r="E36" s="1" t="s">
        <v>22</v>
      </c>
      <c r="F36" s="87">
        <v>9</v>
      </c>
      <c r="G36" s="153">
        <v>3007</v>
      </c>
      <c r="H36" s="154">
        <f t="shared" si="5"/>
        <v>7.9978862239830235</v>
      </c>
      <c r="I36" s="154">
        <f t="shared" si="1"/>
        <v>6.1587610034538516</v>
      </c>
      <c r="J36" s="105">
        <f t="shared" si="2"/>
        <v>18519.394337385733</v>
      </c>
      <c r="K36" s="155">
        <f t="shared" si="13"/>
        <v>24049.643875516951</v>
      </c>
      <c r="L36" s="156">
        <f t="shared" si="14"/>
        <v>-5530.2495381312183</v>
      </c>
      <c r="M36" s="105">
        <f t="shared" si="7"/>
        <v>-396.01669896919111</v>
      </c>
      <c r="N36" s="157">
        <f t="shared" si="8"/>
        <v>-5926.2662371004099</v>
      </c>
      <c r="O36" s="105">
        <f t="shared" si="9"/>
        <v>0</v>
      </c>
      <c r="P36" s="105">
        <f t="shared" si="10"/>
        <v>0</v>
      </c>
      <c r="Q36" s="105">
        <v>0</v>
      </c>
      <c r="R36" s="157">
        <f t="shared" si="11"/>
        <v>-5926.2662371004099</v>
      </c>
    </row>
    <row r="37" spans="1:18" x14ac:dyDescent="0.2">
      <c r="A37" s="87">
        <v>6</v>
      </c>
      <c r="B37" s="151">
        <f t="shared" si="4"/>
        <v>45809</v>
      </c>
      <c r="C37" s="167">
        <f t="shared" si="12"/>
        <v>45841</v>
      </c>
      <c r="D37" s="167">
        <f t="shared" si="12"/>
        <v>45862</v>
      </c>
      <c r="E37" s="1" t="s">
        <v>22</v>
      </c>
      <c r="F37" s="87">
        <v>9</v>
      </c>
      <c r="G37" s="153">
        <v>3377</v>
      </c>
      <c r="H37" s="154">
        <f t="shared" si="5"/>
        <v>7.9978862239830235</v>
      </c>
      <c r="I37" s="154">
        <f t="shared" si="1"/>
        <v>6.1587610034538516</v>
      </c>
      <c r="J37" s="105">
        <f t="shared" si="2"/>
        <v>20798.135908663658</v>
      </c>
      <c r="K37" s="155">
        <f t="shared" si="13"/>
        <v>27008.86177839067</v>
      </c>
      <c r="L37" s="156">
        <f t="shared" si="14"/>
        <v>-6210.7258697270117</v>
      </c>
      <c r="M37" s="105">
        <f t="shared" si="7"/>
        <v>-444.74505900198153</v>
      </c>
      <c r="N37" s="157">
        <f t="shared" si="8"/>
        <v>-6655.4709287289934</v>
      </c>
      <c r="O37" s="105">
        <f t="shared" si="9"/>
        <v>0</v>
      </c>
      <c r="P37" s="105">
        <f t="shared" si="10"/>
        <v>0</v>
      </c>
      <c r="Q37" s="105">
        <v>0</v>
      </c>
      <c r="R37" s="157">
        <f t="shared" si="11"/>
        <v>-6655.4709287289934</v>
      </c>
    </row>
    <row r="38" spans="1:18" x14ac:dyDescent="0.2">
      <c r="A38" s="87">
        <v>7</v>
      </c>
      <c r="B38" s="151">
        <f t="shared" si="4"/>
        <v>45839</v>
      </c>
      <c r="C38" s="167">
        <f t="shared" si="12"/>
        <v>45874</v>
      </c>
      <c r="D38" s="167">
        <f t="shared" si="12"/>
        <v>45894</v>
      </c>
      <c r="E38" s="1" t="s">
        <v>22</v>
      </c>
      <c r="F38" s="87">
        <v>9</v>
      </c>
      <c r="G38" s="153">
        <v>3723</v>
      </c>
      <c r="H38" s="154">
        <f t="shared" si="5"/>
        <v>7.9978862239830235</v>
      </c>
      <c r="I38" s="154">
        <f t="shared" si="1"/>
        <v>6.1587610034538516</v>
      </c>
      <c r="J38" s="105">
        <f t="shared" si="2"/>
        <v>22929.067215858689</v>
      </c>
      <c r="K38" s="155">
        <f t="shared" si="13"/>
        <v>29776.130411888797</v>
      </c>
      <c r="L38" s="156">
        <f t="shared" si="14"/>
        <v>-6847.0631960301071</v>
      </c>
      <c r="M38" s="105">
        <f t="shared" si="7"/>
        <v>-490.31266054615855</v>
      </c>
      <c r="N38" s="157">
        <f t="shared" si="8"/>
        <v>-7337.3758565762655</v>
      </c>
      <c r="O38" s="105">
        <f t="shared" si="9"/>
        <v>0</v>
      </c>
      <c r="P38" s="105">
        <f t="shared" si="10"/>
        <v>0</v>
      </c>
      <c r="Q38" s="105">
        <v>0</v>
      </c>
      <c r="R38" s="157">
        <f t="shared" si="11"/>
        <v>-7337.3758565762655</v>
      </c>
    </row>
    <row r="39" spans="1:18" x14ac:dyDescent="0.2">
      <c r="A39" s="87">
        <v>8</v>
      </c>
      <c r="B39" s="151">
        <f t="shared" si="4"/>
        <v>45870</v>
      </c>
      <c r="C39" s="167">
        <f t="shared" si="12"/>
        <v>45904</v>
      </c>
      <c r="D39" s="167">
        <f t="shared" si="12"/>
        <v>45924</v>
      </c>
      <c r="E39" s="1" t="s">
        <v>22</v>
      </c>
      <c r="F39" s="87">
        <v>9</v>
      </c>
      <c r="G39" s="153">
        <v>3715</v>
      </c>
      <c r="H39" s="154">
        <f t="shared" si="5"/>
        <v>7.9978862239830235</v>
      </c>
      <c r="I39" s="154">
        <f t="shared" si="1"/>
        <v>6.1587610034538516</v>
      </c>
      <c r="J39" s="105">
        <f t="shared" si="2"/>
        <v>22879.797127831058</v>
      </c>
      <c r="K39" s="155">
        <f t="shared" si="13"/>
        <v>29712.147322096931</v>
      </c>
      <c r="L39" s="156">
        <f t="shared" si="14"/>
        <v>-6832.3501942658731</v>
      </c>
      <c r="M39" s="105">
        <f t="shared" si="7"/>
        <v>-489.25907438328738</v>
      </c>
      <c r="N39" s="157">
        <f t="shared" si="8"/>
        <v>-7321.6092686491602</v>
      </c>
      <c r="O39" s="105">
        <f t="shared" si="9"/>
        <v>0</v>
      </c>
      <c r="P39" s="105">
        <f t="shared" si="10"/>
        <v>0</v>
      </c>
      <c r="Q39" s="105">
        <v>0</v>
      </c>
      <c r="R39" s="157">
        <f t="shared" si="11"/>
        <v>-7321.6092686491602</v>
      </c>
    </row>
    <row r="40" spans="1:18" x14ac:dyDescent="0.2">
      <c r="A40" s="87">
        <v>9</v>
      </c>
      <c r="B40" s="151">
        <f t="shared" si="4"/>
        <v>45901</v>
      </c>
      <c r="C40" s="167">
        <f t="shared" si="12"/>
        <v>45933</v>
      </c>
      <c r="D40" s="167">
        <f t="shared" si="12"/>
        <v>45954</v>
      </c>
      <c r="E40" s="1" t="s">
        <v>22</v>
      </c>
      <c r="F40" s="87">
        <v>9</v>
      </c>
      <c r="G40" s="153">
        <v>3256</v>
      </c>
      <c r="H40" s="154">
        <f t="shared" si="5"/>
        <v>7.9978862239830235</v>
      </c>
      <c r="I40" s="154">
        <f t="shared" si="1"/>
        <v>6.1587610034538516</v>
      </c>
      <c r="J40" s="105">
        <f t="shared" si="2"/>
        <v>20052.925827245741</v>
      </c>
      <c r="K40" s="155">
        <f t="shared" si="13"/>
        <v>26041.117545288726</v>
      </c>
      <c r="L40" s="156">
        <f t="shared" si="14"/>
        <v>-5988.1917180429846</v>
      </c>
      <c r="M40" s="105">
        <f t="shared" si="7"/>
        <v>-428.80956828855551</v>
      </c>
      <c r="N40" s="157">
        <f t="shared" si="8"/>
        <v>-6417.0012863315405</v>
      </c>
      <c r="O40" s="105">
        <f t="shared" si="9"/>
        <v>0</v>
      </c>
      <c r="P40" s="105">
        <f t="shared" si="10"/>
        <v>0</v>
      </c>
      <c r="Q40" s="105">
        <v>0</v>
      </c>
      <c r="R40" s="157">
        <f t="shared" si="11"/>
        <v>-6417.0012863315405</v>
      </c>
    </row>
    <row r="41" spans="1:18" x14ac:dyDescent="0.2">
      <c r="A41" s="87">
        <v>10</v>
      </c>
      <c r="B41" s="151">
        <f t="shared" si="4"/>
        <v>45931</v>
      </c>
      <c r="C41" s="167">
        <f t="shared" si="12"/>
        <v>45966</v>
      </c>
      <c r="D41" s="167">
        <f t="shared" si="12"/>
        <v>45985</v>
      </c>
      <c r="E41" s="1" t="s">
        <v>22</v>
      </c>
      <c r="F41" s="87">
        <v>9</v>
      </c>
      <c r="G41" s="153">
        <v>3014</v>
      </c>
      <c r="H41" s="154">
        <f t="shared" si="5"/>
        <v>7.9978862239830235</v>
      </c>
      <c r="I41" s="154">
        <f t="shared" si="1"/>
        <v>6.1587610034538516</v>
      </c>
      <c r="J41" s="105">
        <f t="shared" si="2"/>
        <v>18562.50566440991</v>
      </c>
      <c r="K41" s="155">
        <f t="shared" si="13"/>
        <v>24105.629079084832</v>
      </c>
      <c r="L41" s="156">
        <f t="shared" si="14"/>
        <v>-5543.123414674923</v>
      </c>
      <c r="M41" s="105">
        <f t="shared" si="7"/>
        <v>-396.93858686170336</v>
      </c>
      <c r="N41" s="157">
        <f t="shared" si="8"/>
        <v>-5940.0620015366267</v>
      </c>
      <c r="O41" s="105">
        <f t="shared" si="9"/>
        <v>0</v>
      </c>
      <c r="P41" s="105">
        <f t="shared" si="10"/>
        <v>0</v>
      </c>
      <c r="Q41" s="105">
        <v>0</v>
      </c>
      <c r="R41" s="157">
        <f t="shared" si="11"/>
        <v>-5940.0620015366267</v>
      </c>
    </row>
    <row r="42" spans="1:18" x14ac:dyDescent="0.2">
      <c r="A42" s="87">
        <v>11</v>
      </c>
      <c r="B42" s="151">
        <f t="shared" si="4"/>
        <v>45962</v>
      </c>
      <c r="C42" s="167">
        <f t="shared" si="12"/>
        <v>45994</v>
      </c>
      <c r="D42" s="167">
        <f t="shared" si="12"/>
        <v>46015</v>
      </c>
      <c r="E42" s="1" t="s">
        <v>22</v>
      </c>
      <c r="F42" s="87">
        <v>9</v>
      </c>
      <c r="G42" s="153">
        <v>2338</v>
      </c>
      <c r="H42" s="154">
        <f t="shared" si="5"/>
        <v>7.9978862239830235</v>
      </c>
      <c r="I42" s="154">
        <f t="shared" si="1"/>
        <v>6.1587610034538516</v>
      </c>
      <c r="J42" s="105">
        <f t="shared" si="2"/>
        <v>14399.183226075105</v>
      </c>
      <c r="K42" s="155">
        <f t="shared" si="13"/>
        <v>18699.057991672307</v>
      </c>
      <c r="L42" s="156">
        <f t="shared" si="14"/>
        <v>-4299.874765597202</v>
      </c>
      <c r="M42" s="105">
        <f t="shared" si="7"/>
        <v>-307.91055609909176</v>
      </c>
      <c r="N42" s="157">
        <f t="shared" si="8"/>
        <v>-4607.785321696294</v>
      </c>
      <c r="O42" s="105">
        <f t="shared" si="9"/>
        <v>0</v>
      </c>
      <c r="P42" s="105">
        <f t="shared" si="10"/>
        <v>0</v>
      </c>
      <c r="Q42" s="105">
        <v>0</v>
      </c>
      <c r="R42" s="157">
        <f t="shared" si="11"/>
        <v>-4607.785321696294</v>
      </c>
    </row>
    <row r="43" spans="1:18" x14ac:dyDescent="0.2">
      <c r="A43" s="87">
        <v>12</v>
      </c>
      <c r="B43" s="151">
        <f t="shared" si="4"/>
        <v>45992</v>
      </c>
      <c r="C43" s="167">
        <f t="shared" si="12"/>
        <v>46028</v>
      </c>
      <c r="D43" s="167">
        <f t="shared" si="12"/>
        <v>46048</v>
      </c>
      <c r="E43" s="1" t="s">
        <v>22</v>
      </c>
      <c r="F43" s="87">
        <v>9</v>
      </c>
      <c r="G43" s="191">
        <v>2969</v>
      </c>
      <c r="H43" s="159">
        <f t="shared" si="5"/>
        <v>7.9978862239830235</v>
      </c>
      <c r="I43" s="159">
        <f t="shared" si="1"/>
        <v>6.1587610034538516</v>
      </c>
      <c r="J43" s="160">
        <f t="shared" si="2"/>
        <v>18285.361419254485</v>
      </c>
      <c r="K43" s="161">
        <f t="shared" si="13"/>
        <v>23745.724199005595</v>
      </c>
      <c r="L43" s="162">
        <f t="shared" si="14"/>
        <v>-5460.3627797511108</v>
      </c>
      <c r="M43" s="160">
        <f t="shared" si="7"/>
        <v>-391.01216469555322</v>
      </c>
      <c r="N43" s="192">
        <f t="shared" si="8"/>
        <v>-5851.3749444466639</v>
      </c>
      <c r="O43" s="160">
        <f t="shared" si="9"/>
        <v>0</v>
      </c>
      <c r="P43" s="160">
        <f t="shared" si="10"/>
        <v>0</v>
      </c>
      <c r="Q43" s="160">
        <v>0</v>
      </c>
      <c r="R43" s="192">
        <f t="shared" si="11"/>
        <v>-5851.3749444466639</v>
      </c>
    </row>
    <row r="44" spans="1:18" x14ac:dyDescent="0.2">
      <c r="A44" s="87">
        <v>1</v>
      </c>
      <c r="B44" s="163">
        <f t="shared" ref="B44:B55" si="15">DATE($R$1,A44,1)</f>
        <v>45658</v>
      </c>
      <c r="C44" s="164">
        <f t="shared" ref="C44:D55" si="16">+C32</f>
        <v>45693</v>
      </c>
      <c r="D44" s="164">
        <f t="shared" si="16"/>
        <v>45712</v>
      </c>
      <c r="E44" s="165" t="s">
        <v>82</v>
      </c>
      <c r="F44" s="166">
        <v>9</v>
      </c>
      <c r="G44" s="153">
        <v>211</v>
      </c>
      <c r="H44" s="154">
        <f t="shared" si="5"/>
        <v>7.9978862239830235</v>
      </c>
      <c r="I44" s="154">
        <f t="shared" si="1"/>
        <v>6.1587610034538516</v>
      </c>
      <c r="J44" s="105">
        <f t="shared" ref="J44:J55" si="17">+$G44*I44</f>
        <v>1299.4985717287627</v>
      </c>
      <c r="K44" s="155">
        <f t="shared" ref="K44:K55" si="18">+$G44*H44</f>
        <v>1687.5539932604179</v>
      </c>
      <c r="L44" s="156">
        <f t="shared" ref="L44:L55" si="19">+J44-K44</f>
        <v>-388.05542153165516</v>
      </c>
      <c r="M44" s="105">
        <f t="shared" si="7"/>
        <v>-27.788335045726416</v>
      </c>
      <c r="N44" s="157">
        <f t="shared" si="8"/>
        <v>-415.84375657738155</v>
      </c>
      <c r="O44" s="105">
        <f t="shared" si="9"/>
        <v>0</v>
      </c>
      <c r="P44" s="105">
        <f t="shared" si="10"/>
        <v>0</v>
      </c>
      <c r="Q44" s="105">
        <v>0</v>
      </c>
      <c r="R44" s="157">
        <f t="shared" si="11"/>
        <v>-415.84375657738155</v>
      </c>
    </row>
    <row r="45" spans="1:18" x14ac:dyDescent="0.2">
      <c r="A45" s="87">
        <v>2</v>
      </c>
      <c r="B45" s="151">
        <f t="shared" si="15"/>
        <v>45689</v>
      </c>
      <c r="C45" s="167">
        <f t="shared" si="16"/>
        <v>45721</v>
      </c>
      <c r="D45" s="167">
        <f t="shared" si="16"/>
        <v>45740</v>
      </c>
      <c r="E45" s="158" t="s">
        <v>82</v>
      </c>
      <c r="F45" s="87">
        <v>9</v>
      </c>
      <c r="G45" s="153">
        <v>200</v>
      </c>
      <c r="H45" s="154">
        <f t="shared" si="5"/>
        <v>7.9978862239830235</v>
      </c>
      <c r="I45" s="154">
        <f t="shared" si="1"/>
        <v>6.1587610034538516</v>
      </c>
      <c r="J45" s="105">
        <f t="shared" si="17"/>
        <v>1231.7522006907702</v>
      </c>
      <c r="K45" s="155">
        <f t="shared" si="18"/>
        <v>1599.5772447966046</v>
      </c>
      <c r="L45" s="156">
        <f t="shared" si="19"/>
        <v>-367.82504410583442</v>
      </c>
      <c r="M45" s="105">
        <f t="shared" si="7"/>
        <v>-26.339654071778593</v>
      </c>
      <c r="N45" s="157">
        <f t="shared" si="8"/>
        <v>-394.16469817761299</v>
      </c>
      <c r="O45" s="105">
        <f t="shared" si="9"/>
        <v>0</v>
      </c>
      <c r="P45" s="105">
        <f t="shared" si="10"/>
        <v>0</v>
      </c>
      <c r="Q45" s="105">
        <v>0</v>
      </c>
      <c r="R45" s="157">
        <f t="shared" si="11"/>
        <v>-394.16469817761299</v>
      </c>
    </row>
    <row r="46" spans="1:18" x14ac:dyDescent="0.2">
      <c r="A46" s="87">
        <v>3</v>
      </c>
      <c r="B46" s="151">
        <f t="shared" si="15"/>
        <v>45717</v>
      </c>
      <c r="C46" s="167">
        <f t="shared" si="16"/>
        <v>45750</v>
      </c>
      <c r="D46" s="167">
        <f t="shared" si="16"/>
        <v>45771</v>
      </c>
      <c r="E46" s="158" t="s">
        <v>82</v>
      </c>
      <c r="F46" s="87">
        <v>9</v>
      </c>
      <c r="G46" s="153">
        <v>122</v>
      </c>
      <c r="H46" s="154">
        <f t="shared" si="5"/>
        <v>7.9978862239830235</v>
      </c>
      <c r="I46" s="154">
        <f t="shared" si="1"/>
        <v>6.1587610034538516</v>
      </c>
      <c r="J46" s="105">
        <f t="shared" si="17"/>
        <v>751.36884242136989</v>
      </c>
      <c r="K46" s="155">
        <f t="shared" si="18"/>
        <v>975.74211932592891</v>
      </c>
      <c r="L46" s="156">
        <f t="shared" si="19"/>
        <v>-224.37327690455902</v>
      </c>
      <c r="M46" s="105">
        <f t="shared" si="7"/>
        <v>-16.067188983784941</v>
      </c>
      <c r="N46" s="157">
        <f t="shared" si="8"/>
        <v>-240.44046588834397</v>
      </c>
      <c r="O46" s="105">
        <f t="shared" si="9"/>
        <v>0</v>
      </c>
      <c r="P46" s="105">
        <f t="shared" si="10"/>
        <v>0</v>
      </c>
      <c r="Q46" s="105">
        <v>0</v>
      </c>
      <c r="R46" s="157">
        <f t="shared" si="11"/>
        <v>-240.44046588834397</v>
      </c>
    </row>
    <row r="47" spans="1:18" x14ac:dyDescent="0.2">
      <c r="A47" s="87">
        <v>4</v>
      </c>
      <c r="B47" s="151">
        <f t="shared" si="15"/>
        <v>45748</v>
      </c>
      <c r="C47" s="167">
        <f t="shared" si="16"/>
        <v>45782</v>
      </c>
      <c r="D47" s="167">
        <f t="shared" si="16"/>
        <v>45803</v>
      </c>
      <c r="E47" s="158" t="s">
        <v>82</v>
      </c>
      <c r="F47" s="87">
        <v>9</v>
      </c>
      <c r="G47" s="153">
        <v>109</v>
      </c>
      <c r="H47" s="154">
        <f t="shared" si="5"/>
        <v>7.9978862239830235</v>
      </c>
      <c r="I47" s="154">
        <f t="shared" si="1"/>
        <v>6.1587610034538516</v>
      </c>
      <c r="J47" s="105">
        <f t="shared" si="17"/>
        <v>671.30494937646984</v>
      </c>
      <c r="K47" s="155">
        <f t="shared" si="18"/>
        <v>871.76959841414953</v>
      </c>
      <c r="L47" s="156">
        <f t="shared" si="19"/>
        <v>-200.46464903767969</v>
      </c>
      <c r="M47" s="105">
        <f t="shared" si="7"/>
        <v>-14.355111469119334</v>
      </c>
      <c r="N47" s="157">
        <f t="shared" si="8"/>
        <v>-214.81976050679901</v>
      </c>
      <c r="O47" s="105">
        <f t="shared" si="9"/>
        <v>0</v>
      </c>
      <c r="P47" s="105">
        <f t="shared" si="10"/>
        <v>0</v>
      </c>
      <c r="Q47" s="105">
        <v>0</v>
      </c>
      <c r="R47" s="157">
        <f t="shared" si="11"/>
        <v>-214.81976050679901</v>
      </c>
    </row>
    <row r="48" spans="1:18" x14ac:dyDescent="0.2">
      <c r="A48" s="87">
        <v>5</v>
      </c>
      <c r="B48" s="151">
        <f t="shared" si="15"/>
        <v>45778</v>
      </c>
      <c r="C48" s="167">
        <f t="shared" si="16"/>
        <v>45812</v>
      </c>
      <c r="D48" s="167">
        <f t="shared" si="16"/>
        <v>45832</v>
      </c>
      <c r="E48" s="158" t="s">
        <v>82</v>
      </c>
      <c r="F48" s="87">
        <v>9</v>
      </c>
      <c r="G48" s="153">
        <v>102</v>
      </c>
      <c r="H48" s="154">
        <f t="shared" si="5"/>
        <v>7.9978862239830235</v>
      </c>
      <c r="I48" s="154">
        <f t="shared" si="1"/>
        <v>6.1587610034538516</v>
      </c>
      <c r="J48" s="105">
        <f t="shared" si="17"/>
        <v>628.19362235229289</v>
      </c>
      <c r="K48" s="155">
        <f t="shared" si="18"/>
        <v>815.78439484626836</v>
      </c>
      <c r="L48" s="156">
        <f t="shared" si="19"/>
        <v>-187.59077249397546</v>
      </c>
      <c r="M48" s="105">
        <f t="shared" si="7"/>
        <v>-13.433223576607082</v>
      </c>
      <c r="N48" s="157">
        <f t="shared" si="8"/>
        <v>-201.02399607058254</v>
      </c>
      <c r="O48" s="105">
        <f t="shared" si="9"/>
        <v>0</v>
      </c>
      <c r="P48" s="105">
        <f t="shared" si="10"/>
        <v>0</v>
      </c>
      <c r="Q48" s="105">
        <v>0</v>
      </c>
      <c r="R48" s="157">
        <f t="shared" si="11"/>
        <v>-201.02399607058254</v>
      </c>
    </row>
    <row r="49" spans="1:18" x14ac:dyDescent="0.2">
      <c r="A49" s="87">
        <v>6</v>
      </c>
      <c r="B49" s="151">
        <f t="shared" si="15"/>
        <v>45809</v>
      </c>
      <c r="C49" s="167">
        <f t="shared" si="16"/>
        <v>45841</v>
      </c>
      <c r="D49" s="167">
        <f t="shared" si="16"/>
        <v>45862</v>
      </c>
      <c r="E49" s="158" t="s">
        <v>82</v>
      </c>
      <c r="F49" s="87">
        <v>9</v>
      </c>
      <c r="G49" s="153">
        <v>131</v>
      </c>
      <c r="H49" s="154">
        <f t="shared" si="5"/>
        <v>7.9978862239830235</v>
      </c>
      <c r="I49" s="154">
        <f t="shared" si="1"/>
        <v>6.1587610034538516</v>
      </c>
      <c r="J49" s="105">
        <f t="shared" si="17"/>
        <v>806.7976914524545</v>
      </c>
      <c r="K49" s="155">
        <f t="shared" si="18"/>
        <v>1047.7230953417761</v>
      </c>
      <c r="L49" s="156">
        <f t="shared" si="19"/>
        <v>-240.92540388932161</v>
      </c>
      <c r="M49" s="105">
        <f t="shared" si="7"/>
        <v>-17.252473417014979</v>
      </c>
      <c r="N49" s="157">
        <f t="shared" si="8"/>
        <v>-258.1778773063366</v>
      </c>
      <c r="O49" s="105">
        <f t="shared" si="9"/>
        <v>0</v>
      </c>
      <c r="P49" s="105">
        <f t="shared" si="10"/>
        <v>0</v>
      </c>
      <c r="Q49" s="105">
        <v>0</v>
      </c>
      <c r="R49" s="157">
        <f t="shared" si="11"/>
        <v>-258.1778773063366</v>
      </c>
    </row>
    <row r="50" spans="1:18" x14ac:dyDescent="0.2">
      <c r="A50" s="87">
        <v>7</v>
      </c>
      <c r="B50" s="151">
        <f t="shared" si="15"/>
        <v>45839</v>
      </c>
      <c r="C50" s="167">
        <f t="shared" si="16"/>
        <v>45874</v>
      </c>
      <c r="D50" s="167">
        <f t="shared" si="16"/>
        <v>45894</v>
      </c>
      <c r="E50" s="158" t="s">
        <v>82</v>
      </c>
      <c r="F50" s="87">
        <v>9</v>
      </c>
      <c r="G50" s="153">
        <v>146</v>
      </c>
      <c r="H50" s="154">
        <f t="shared" si="5"/>
        <v>7.9978862239830235</v>
      </c>
      <c r="I50" s="154">
        <f t="shared" si="1"/>
        <v>6.1587610034538516</v>
      </c>
      <c r="J50" s="105">
        <f t="shared" si="17"/>
        <v>899.17910650426234</v>
      </c>
      <c r="K50" s="155">
        <f t="shared" si="18"/>
        <v>1167.6913887015214</v>
      </c>
      <c r="L50" s="156">
        <f t="shared" si="19"/>
        <v>-268.51228219725908</v>
      </c>
      <c r="M50" s="105">
        <f t="shared" si="7"/>
        <v>-19.227947472398373</v>
      </c>
      <c r="N50" s="157">
        <f t="shared" si="8"/>
        <v>-287.74022966965748</v>
      </c>
      <c r="O50" s="105">
        <f t="shared" si="9"/>
        <v>0</v>
      </c>
      <c r="P50" s="105">
        <f t="shared" si="10"/>
        <v>0</v>
      </c>
      <c r="Q50" s="105">
        <v>0</v>
      </c>
      <c r="R50" s="157">
        <f t="shared" si="11"/>
        <v>-287.74022966965748</v>
      </c>
    </row>
    <row r="51" spans="1:18" x14ac:dyDescent="0.2">
      <c r="A51" s="87">
        <v>8</v>
      </c>
      <c r="B51" s="151">
        <f t="shared" si="15"/>
        <v>45870</v>
      </c>
      <c r="C51" s="167">
        <f t="shared" si="16"/>
        <v>45904</v>
      </c>
      <c r="D51" s="167">
        <f t="shared" si="16"/>
        <v>45924</v>
      </c>
      <c r="E51" s="158" t="s">
        <v>82</v>
      </c>
      <c r="F51" s="87">
        <v>9</v>
      </c>
      <c r="G51" s="153">
        <v>149</v>
      </c>
      <c r="H51" s="154">
        <f t="shared" si="5"/>
        <v>7.9978862239830235</v>
      </c>
      <c r="I51" s="154">
        <f t="shared" si="1"/>
        <v>6.1587610034538516</v>
      </c>
      <c r="J51" s="105">
        <f t="shared" si="17"/>
        <v>917.65538951462383</v>
      </c>
      <c r="K51" s="155">
        <f t="shared" si="18"/>
        <v>1191.6850473734705</v>
      </c>
      <c r="L51" s="156">
        <f t="shared" si="19"/>
        <v>-274.02965785884669</v>
      </c>
      <c r="M51" s="105">
        <f t="shared" si="7"/>
        <v>-19.623042283475051</v>
      </c>
      <c r="N51" s="157">
        <f t="shared" si="8"/>
        <v>-293.65270014232175</v>
      </c>
      <c r="O51" s="105">
        <f t="shared" si="9"/>
        <v>0</v>
      </c>
      <c r="P51" s="105">
        <f t="shared" si="10"/>
        <v>0</v>
      </c>
      <c r="Q51" s="105">
        <v>0</v>
      </c>
      <c r="R51" s="157">
        <f t="shared" si="11"/>
        <v>-293.65270014232175</v>
      </c>
    </row>
    <row r="52" spans="1:18" x14ac:dyDescent="0.2">
      <c r="A52" s="87">
        <v>9</v>
      </c>
      <c r="B52" s="151">
        <f t="shared" si="15"/>
        <v>45901</v>
      </c>
      <c r="C52" s="167">
        <f t="shared" si="16"/>
        <v>45933</v>
      </c>
      <c r="D52" s="167">
        <f t="shared" si="16"/>
        <v>45954</v>
      </c>
      <c r="E52" s="158" t="s">
        <v>82</v>
      </c>
      <c r="F52" s="87">
        <v>9</v>
      </c>
      <c r="G52" s="153">
        <v>122</v>
      </c>
      <c r="H52" s="154">
        <f t="shared" si="5"/>
        <v>7.9978862239830235</v>
      </c>
      <c r="I52" s="154">
        <f t="shared" si="1"/>
        <v>6.1587610034538516</v>
      </c>
      <c r="J52" s="105">
        <f t="shared" si="17"/>
        <v>751.36884242136989</v>
      </c>
      <c r="K52" s="155">
        <f t="shared" si="18"/>
        <v>975.74211932592891</v>
      </c>
      <c r="L52" s="156">
        <f t="shared" si="19"/>
        <v>-224.37327690455902</v>
      </c>
      <c r="M52" s="105">
        <f t="shared" si="7"/>
        <v>-16.067188983784941</v>
      </c>
      <c r="N52" s="157">
        <f t="shared" si="8"/>
        <v>-240.44046588834397</v>
      </c>
      <c r="O52" s="105">
        <f t="shared" si="9"/>
        <v>0</v>
      </c>
      <c r="P52" s="105">
        <f t="shared" si="10"/>
        <v>0</v>
      </c>
      <c r="Q52" s="105">
        <v>0</v>
      </c>
      <c r="R52" s="157">
        <f t="shared" si="11"/>
        <v>-240.44046588834397</v>
      </c>
    </row>
    <row r="53" spans="1:18" x14ac:dyDescent="0.2">
      <c r="A53" s="87">
        <v>10</v>
      </c>
      <c r="B53" s="151">
        <f t="shared" si="15"/>
        <v>45931</v>
      </c>
      <c r="C53" s="167">
        <f t="shared" si="16"/>
        <v>45966</v>
      </c>
      <c r="D53" s="167">
        <f t="shared" si="16"/>
        <v>45985</v>
      </c>
      <c r="E53" s="158" t="s">
        <v>82</v>
      </c>
      <c r="F53" s="87">
        <v>9</v>
      </c>
      <c r="G53" s="153">
        <v>117</v>
      </c>
      <c r="H53" s="154">
        <f t="shared" si="5"/>
        <v>7.9978862239830235</v>
      </c>
      <c r="I53" s="154">
        <f t="shared" si="1"/>
        <v>6.1587610034538516</v>
      </c>
      <c r="J53" s="105">
        <f t="shared" si="17"/>
        <v>720.57503740410061</v>
      </c>
      <c r="K53" s="155">
        <f t="shared" si="18"/>
        <v>935.75268820601377</v>
      </c>
      <c r="L53" s="156">
        <f t="shared" si="19"/>
        <v>-215.17765080191316</v>
      </c>
      <c r="M53" s="105">
        <f t="shared" si="7"/>
        <v>-15.408697631990478</v>
      </c>
      <c r="N53" s="157">
        <f t="shared" si="8"/>
        <v>-230.58634843390365</v>
      </c>
      <c r="O53" s="105">
        <f t="shared" si="9"/>
        <v>0</v>
      </c>
      <c r="P53" s="105">
        <f t="shared" si="10"/>
        <v>0</v>
      </c>
      <c r="Q53" s="105">
        <v>0</v>
      </c>
      <c r="R53" s="157">
        <f t="shared" si="11"/>
        <v>-230.58634843390365</v>
      </c>
    </row>
    <row r="54" spans="1:18" x14ac:dyDescent="0.2">
      <c r="A54" s="87">
        <v>11</v>
      </c>
      <c r="B54" s="151">
        <f t="shared" si="15"/>
        <v>45962</v>
      </c>
      <c r="C54" s="167">
        <f t="shared" si="16"/>
        <v>45994</v>
      </c>
      <c r="D54" s="167">
        <f t="shared" si="16"/>
        <v>46015</v>
      </c>
      <c r="E54" s="158" t="s">
        <v>82</v>
      </c>
      <c r="F54" s="87">
        <v>9</v>
      </c>
      <c r="G54" s="153">
        <v>118</v>
      </c>
      <c r="H54" s="154">
        <f t="shared" si="5"/>
        <v>7.9978862239830235</v>
      </c>
      <c r="I54" s="154">
        <f t="shared" si="1"/>
        <v>6.1587610034538516</v>
      </c>
      <c r="J54" s="105">
        <f t="shared" si="17"/>
        <v>726.73379840755445</v>
      </c>
      <c r="K54" s="155">
        <f t="shared" si="18"/>
        <v>943.75057442999673</v>
      </c>
      <c r="L54" s="156">
        <f t="shared" si="19"/>
        <v>-217.01677602244229</v>
      </c>
      <c r="M54" s="105">
        <f t="shared" si="7"/>
        <v>-15.540395902349371</v>
      </c>
      <c r="N54" s="157">
        <f t="shared" si="8"/>
        <v>-232.55717192479165</v>
      </c>
      <c r="O54" s="105">
        <f t="shared" si="9"/>
        <v>0</v>
      </c>
      <c r="P54" s="105">
        <f t="shared" si="10"/>
        <v>0</v>
      </c>
      <c r="Q54" s="105">
        <v>0</v>
      </c>
      <c r="R54" s="157">
        <f t="shared" si="11"/>
        <v>-232.55717192479165</v>
      </c>
    </row>
    <row r="55" spans="1:18" x14ac:dyDescent="0.2">
      <c r="A55" s="87">
        <v>12</v>
      </c>
      <c r="B55" s="151">
        <f t="shared" si="15"/>
        <v>45992</v>
      </c>
      <c r="C55" s="167">
        <f t="shared" si="16"/>
        <v>46028</v>
      </c>
      <c r="D55" s="167">
        <f t="shared" si="16"/>
        <v>46048</v>
      </c>
      <c r="E55" s="158" t="s">
        <v>82</v>
      </c>
      <c r="F55" s="87">
        <v>9</v>
      </c>
      <c r="G55" s="191">
        <v>178</v>
      </c>
      <c r="H55" s="159">
        <f t="shared" si="5"/>
        <v>7.9978862239830235</v>
      </c>
      <c r="I55" s="159">
        <f t="shared" si="1"/>
        <v>6.1587610034538516</v>
      </c>
      <c r="J55" s="160">
        <f t="shared" si="17"/>
        <v>1096.2594586147857</v>
      </c>
      <c r="K55" s="161">
        <f t="shared" si="18"/>
        <v>1423.6237478689782</v>
      </c>
      <c r="L55" s="162">
        <f t="shared" si="19"/>
        <v>-327.3642892541925</v>
      </c>
      <c r="M55" s="160">
        <f t="shared" si="7"/>
        <v>-23.442292123882947</v>
      </c>
      <c r="N55" s="192">
        <f t="shared" si="8"/>
        <v>-350.80658137807546</v>
      </c>
      <c r="O55" s="160">
        <f t="shared" si="9"/>
        <v>0</v>
      </c>
      <c r="P55" s="160">
        <f t="shared" si="10"/>
        <v>0</v>
      </c>
      <c r="Q55" s="160">
        <v>0</v>
      </c>
      <c r="R55" s="192">
        <f t="shared" si="11"/>
        <v>-350.80658137807546</v>
      </c>
    </row>
    <row r="56" spans="1:18" s="168" customFormat="1" x14ac:dyDescent="0.2">
      <c r="A56" s="87">
        <v>1</v>
      </c>
      <c r="B56" s="163">
        <f t="shared" si="4"/>
        <v>45658</v>
      </c>
      <c r="C56" s="164">
        <f t="shared" ref="C56:D67" si="20">+C32</f>
        <v>45693</v>
      </c>
      <c r="D56" s="164">
        <f t="shared" si="20"/>
        <v>45712</v>
      </c>
      <c r="E56" s="165" t="s">
        <v>14</v>
      </c>
      <c r="F56" s="166">
        <v>9</v>
      </c>
      <c r="G56" s="153">
        <v>966</v>
      </c>
      <c r="H56" s="154">
        <f t="shared" si="5"/>
        <v>7.9978862239830235</v>
      </c>
      <c r="I56" s="154">
        <f t="shared" si="1"/>
        <v>6.1587610034538516</v>
      </c>
      <c r="J56" s="105">
        <f t="shared" si="2"/>
        <v>5949.3631293364206</v>
      </c>
      <c r="K56" s="155">
        <f t="shared" si="13"/>
        <v>7725.9580923676003</v>
      </c>
      <c r="L56" s="156">
        <f t="shared" si="14"/>
        <v>-1776.5949630311798</v>
      </c>
      <c r="M56" s="105">
        <f t="shared" si="7"/>
        <v>-127.22052916669061</v>
      </c>
      <c r="N56" s="157">
        <f t="shared" si="8"/>
        <v>-1903.8154921978703</v>
      </c>
      <c r="O56" s="105">
        <f t="shared" si="9"/>
        <v>0</v>
      </c>
      <c r="P56" s="105">
        <f t="shared" si="10"/>
        <v>0</v>
      </c>
      <c r="Q56" s="105">
        <v>0</v>
      </c>
      <c r="R56" s="157">
        <f t="shared" si="11"/>
        <v>-1903.8154921978703</v>
      </c>
    </row>
    <row r="57" spans="1:18" x14ac:dyDescent="0.2">
      <c r="A57" s="87">
        <v>2</v>
      </c>
      <c r="B57" s="151">
        <f t="shared" si="4"/>
        <v>45689</v>
      </c>
      <c r="C57" s="167">
        <f t="shared" si="20"/>
        <v>45721</v>
      </c>
      <c r="D57" s="167">
        <f t="shared" si="20"/>
        <v>45740</v>
      </c>
      <c r="E57" s="158" t="s">
        <v>14</v>
      </c>
      <c r="F57" s="87">
        <v>9</v>
      </c>
      <c r="G57" s="153">
        <v>1102</v>
      </c>
      <c r="H57" s="154">
        <f t="shared" si="5"/>
        <v>7.9978862239830235</v>
      </c>
      <c r="I57" s="154">
        <f t="shared" si="1"/>
        <v>6.1587610034538516</v>
      </c>
      <c r="J57" s="105">
        <f t="shared" si="2"/>
        <v>6786.9546258061446</v>
      </c>
      <c r="K57" s="155">
        <f t="shared" si="13"/>
        <v>8813.6706188292919</v>
      </c>
      <c r="L57" s="156">
        <f t="shared" si="14"/>
        <v>-2026.7159930231473</v>
      </c>
      <c r="M57" s="105">
        <f t="shared" si="7"/>
        <v>-145.13149393550003</v>
      </c>
      <c r="N57" s="157">
        <f t="shared" si="8"/>
        <v>-2171.8474869586476</v>
      </c>
      <c r="O57" s="105">
        <f t="shared" si="9"/>
        <v>0</v>
      </c>
      <c r="P57" s="105">
        <f t="shared" si="10"/>
        <v>0</v>
      </c>
      <c r="Q57" s="105">
        <v>0</v>
      </c>
      <c r="R57" s="157">
        <f t="shared" si="11"/>
        <v>-2171.8474869586476</v>
      </c>
    </row>
    <row r="58" spans="1:18" x14ac:dyDescent="0.2">
      <c r="A58" s="87">
        <v>3</v>
      </c>
      <c r="B58" s="151">
        <f t="shared" si="4"/>
        <v>45717</v>
      </c>
      <c r="C58" s="167">
        <f t="shared" si="20"/>
        <v>45750</v>
      </c>
      <c r="D58" s="167">
        <f t="shared" si="20"/>
        <v>45771</v>
      </c>
      <c r="E58" s="158" t="s">
        <v>14</v>
      </c>
      <c r="F58" s="87">
        <v>9</v>
      </c>
      <c r="G58" s="153">
        <v>715</v>
      </c>
      <c r="H58" s="154">
        <f t="shared" si="5"/>
        <v>7.9978862239830235</v>
      </c>
      <c r="I58" s="154">
        <f t="shared" si="1"/>
        <v>6.1587610034538516</v>
      </c>
      <c r="J58" s="105">
        <f t="shared" si="2"/>
        <v>4403.5141174695036</v>
      </c>
      <c r="K58" s="155">
        <f t="shared" si="13"/>
        <v>5718.4886501478622</v>
      </c>
      <c r="L58" s="156">
        <f>+J58-K58</f>
        <v>-1314.9745326783586</v>
      </c>
      <c r="M58" s="105">
        <f t="shared" si="7"/>
        <v>-94.164263306608461</v>
      </c>
      <c r="N58" s="157">
        <f t="shared" si="8"/>
        <v>-1409.1387959849671</v>
      </c>
      <c r="O58" s="105">
        <f t="shared" si="9"/>
        <v>0</v>
      </c>
      <c r="P58" s="105">
        <f t="shared" si="10"/>
        <v>0</v>
      </c>
      <c r="Q58" s="105">
        <v>0</v>
      </c>
      <c r="R58" s="157">
        <f t="shared" si="11"/>
        <v>-1409.1387959849671</v>
      </c>
    </row>
    <row r="59" spans="1:18" x14ac:dyDescent="0.2">
      <c r="A59" s="87">
        <v>4</v>
      </c>
      <c r="B59" s="151">
        <f t="shared" si="4"/>
        <v>45748</v>
      </c>
      <c r="C59" s="167">
        <f t="shared" si="20"/>
        <v>45782</v>
      </c>
      <c r="D59" s="167">
        <f t="shared" si="20"/>
        <v>45803</v>
      </c>
      <c r="E59" s="158" t="s">
        <v>14</v>
      </c>
      <c r="F59" s="87">
        <v>9</v>
      </c>
      <c r="G59" s="153">
        <v>581</v>
      </c>
      <c r="H59" s="154">
        <f t="shared" si="5"/>
        <v>7.9978862239830235</v>
      </c>
      <c r="I59" s="154">
        <f t="shared" si="1"/>
        <v>6.1587610034538516</v>
      </c>
      <c r="J59" s="105">
        <f t="shared" si="2"/>
        <v>3578.240143006688</v>
      </c>
      <c r="K59" s="155">
        <f t="shared" si="13"/>
        <v>4646.771896134137</v>
      </c>
      <c r="L59" s="156">
        <f t="shared" ref="L59:L81" si="21">+J59-K59</f>
        <v>-1068.5317531274491</v>
      </c>
      <c r="M59" s="105">
        <f t="shared" si="7"/>
        <v>-76.516695078516804</v>
      </c>
      <c r="N59" s="157">
        <f t="shared" si="8"/>
        <v>-1145.0484482059658</v>
      </c>
      <c r="O59" s="105">
        <f t="shared" si="9"/>
        <v>0</v>
      </c>
      <c r="P59" s="105">
        <f t="shared" si="10"/>
        <v>0</v>
      </c>
      <c r="Q59" s="105">
        <v>0</v>
      </c>
      <c r="R59" s="157">
        <f t="shared" si="11"/>
        <v>-1145.0484482059658</v>
      </c>
    </row>
    <row r="60" spans="1:18" x14ac:dyDescent="0.2">
      <c r="A60" s="87">
        <v>5</v>
      </c>
      <c r="B60" s="151">
        <f t="shared" si="4"/>
        <v>45778</v>
      </c>
      <c r="C60" s="167">
        <f t="shared" si="20"/>
        <v>45812</v>
      </c>
      <c r="D60" s="167">
        <f t="shared" si="20"/>
        <v>45832</v>
      </c>
      <c r="E60" s="1" t="s">
        <v>14</v>
      </c>
      <c r="F60" s="87">
        <v>9</v>
      </c>
      <c r="G60" s="153">
        <v>781</v>
      </c>
      <c r="H60" s="154">
        <f t="shared" si="5"/>
        <v>7.9978862239830235</v>
      </c>
      <c r="I60" s="154">
        <f t="shared" si="1"/>
        <v>6.1587610034538516</v>
      </c>
      <c r="J60" s="105">
        <f t="shared" si="2"/>
        <v>4809.9923436974577</v>
      </c>
      <c r="K60" s="155">
        <f t="shared" si="13"/>
        <v>6246.3491409307417</v>
      </c>
      <c r="L60" s="156">
        <f t="shared" si="21"/>
        <v>-1436.3567972332839</v>
      </c>
      <c r="M60" s="105">
        <f t="shared" si="7"/>
        <v>-102.8563491502954</v>
      </c>
      <c r="N60" s="157">
        <f t="shared" si="8"/>
        <v>-1539.2131463835794</v>
      </c>
      <c r="O60" s="105">
        <f t="shared" si="9"/>
        <v>0</v>
      </c>
      <c r="P60" s="105">
        <f t="shared" si="10"/>
        <v>0</v>
      </c>
      <c r="Q60" s="105">
        <v>0</v>
      </c>
      <c r="R60" s="157">
        <f t="shared" si="11"/>
        <v>-1539.2131463835794</v>
      </c>
    </row>
    <row r="61" spans="1:18" x14ac:dyDescent="0.2">
      <c r="A61" s="87">
        <v>6</v>
      </c>
      <c r="B61" s="151">
        <f t="shared" si="4"/>
        <v>45809</v>
      </c>
      <c r="C61" s="167">
        <f t="shared" si="20"/>
        <v>45841</v>
      </c>
      <c r="D61" s="167">
        <f t="shared" si="20"/>
        <v>45862</v>
      </c>
      <c r="E61" s="1" t="s">
        <v>14</v>
      </c>
      <c r="F61" s="87">
        <v>9</v>
      </c>
      <c r="G61" s="153">
        <v>896</v>
      </c>
      <c r="H61" s="154">
        <f t="shared" si="5"/>
        <v>7.9978862239830235</v>
      </c>
      <c r="I61" s="154">
        <f t="shared" si="1"/>
        <v>6.1587610034538516</v>
      </c>
      <c r="J61" s="105">
        <f t="shared" si="2"/>
        <v>5518.2498590946507</v>
      </c>
      <c r="K61" s="155">
        <f t="shared" si="13"/>
        <v>7166.1060566887891</v>
      </c>
      <c r="L61" s="156">
        <f t="shared" si="21"/>
        <v>-1647.8561975941384</v>
      </c>
      <c r="M61" s="105">
        <f t="shared" si="7"/>
        <v>-118.00165024156809</v>
      </c>
      <c r="N61" s="157">
        <f t="shared" si="8"/>
        <v>-1765.8578478357065</v>
      </c>
      <c r="O61" s="105">
        <f t="shared" si="9"/>
        <v>0</v>
      </c>
      <c r="P61" s="105">
        <f t="shared" si="10"/>
        <v>0</v>
      </c>
      <c r="Q61" s="105">
        <v>0</v>
      </c>
      <c r="R61" s="157">
        <f t="shared" si="11"/>
        <v>-1765.8578478357065</v>
      </c>
    </row>
    <row r="62" spans="1:18" x14ac:dyDescent="0.2">
      <c r="A62" s="87">
        <v>7</v>
      </c>
      <c r="B62" s="151">
        <f t="shared" si="4"/>
        <v>45839</v>
      </c>
      <c r="C62" s="167">
        <f t="shared" si="20"/>
        <v>45874</v>
      </c>
      <c r="D62" s="167">
        <f t="shared" si="20"/>
        <v>45894</v>
      </c>
      <c r="E62" s="1" t="s">
        <v>14</v>
      </c>
      <c r="F62" s="87">
        <v>9</v>
      </c>
      <c r="G62" s="153">
        <v>1028</v>
      </c>
      <c r="H62" s="154">
        <f t="shared" si="5"/>
        <v>7.9978862239830235</v>
      </c>
      <c r="I62" s="154">
        <f t="shared" si="1"/>
        <v>6.1587610034538516</v>
      </c>
      <c r="J62" s="105">
        <f t="shared" si="2"/>
        <v>6331.2063115505598</v>
      </c>
      <c r="K62" s="155">
        <f t="shared" si="13"/>
        <v>8221.8270382545488</v>
      </c>
      <c r="L62" s="156">
        <f t="shared" si="21"/>
        <v>-1890.620726703989</v>
      </c>
      <c r="M62" s="105">
        <f t="shared" si="7"/>
        <v>-135.38582192894197</v>
      </c>
      <c r="N62" s="157">
        <f t="shared" si="8"/>
        <v>-2026.0065486329311</v>
      </c>
      <c r="O62" s="105">
        <f t="shared" si="9"/>
        <v>0</v>
      </c>
      <c r="P62" s="105">
        <f t="shared" si="10"/>
        <v>0</v>
      </c>
      <c r="Q62" s="105">
        <v>0</v>
      </c>
      <c r="R62" s="157">
        <f t="shared" si="11"/>
        <v>-2026.0065486329311</v>
      </c>
    </row>
    <row r="63" spans="1:18" x14ac:dyDescent="0.2">
      <c r="A63" s="87">
        <v>8</v>
      </c>
      <c r="B63" s="151">
        <f t="shared" si="4"/>
        <v>45870</v>
      </c>
      <c r="C63" s="167">
        <f t="shared" si="20"/>
        <v>45904</v>
      </c>
      <c r="D63" s="167">
        <f t="shared" si="20"/>
        <v>45924</v>
      </c>
      <c r="E63" s="1" t="s">
        <v>14</v>
      </c>
      <c r="F63" s="87">
        <v>9</v>
      </c>
      <c r="G63" s="153">
        <v>1055</v>
      </c>
      <c r="H63" s="154">
        <f t="shared" si="5"/>
        <v>7.9978862239830235</v>
      </c>
      <c r="I63" s="154">
        <f t="shared" si="1"/>
        <v>6.1587610034538516</v>
      </c>
      <c r="J63" s="105">
        <f t="shared" si="2"/>
        <v>6497.4928586438136</v>
      </c>
      <c r="K63" s="155">
        <f t="shared" si="13"/>
        <v>8437.7699663020903</v>
      </c>
      <c r="L63" s="156">
        <f t="shared" si="21"/>
        <v>-1940.2771076582767</v>
      </c>
      <c r="M63" s="105">
        <f t="shared" si="7"/>
        <v>-138.94167522863208</v>
      </c>
      <c r="N63" s="157">
        <f t="shared" si="8"/>
        <v>-2079.2187828869087</v>
      </c>
      <c r="O63" s="105">
        <f t="shared" si="9"/>
        <v>0</v>
      </c>
      <c r="P63" s="105">
        <f t="shared" si="10"/>
        <v>0</v>
      </c>
      <c r="Q63" s="105">
        <v>0</v>
      </c>
      <c r="R63" s="157">
        <f t="shared" si="11"/>
        <v>-2079.2187828869087</v>
      </c>
    </row>
    <row r="64" spans="1:18" x14ac:dyDescent="0.2">
      <c r="A64" s="87">
        <v>9</v>
      </c>
      <c r="B64" s="151">
        <f t="shared" si="4"/>
        <v>45901</v>
      </c>
      <c r="C64" s="167">
        <f t="shared" si="20"/>
        <v>45933</v>
      </c>
      <c r="D64" s="167">
        <f t="shared" si="20"/>
        <v>45954</v>
      </c>
      <c r="E64" s="1" t="s">
        <v>14</v>
      </c>
      <c r="F64" s="87">
        <v>9</v>
      </c>
      <c r="G64" s="153">
        <v>815</v>
      </c>
      <c r="H64" s="154">
        <f t="shared" si="5"/>
        <v>7.9978862239830235</v>
      </c>
      <c r="I64" s="154">
        <f t="shared" ref="I64:I107" si="22">$J$3</f>
        <v>6.1587610034538516</v>
      </c>
      <c r="J64" s="105">
        <f t="shared" si="2"/>
        <v>5019.3902178148892</v>
      </c>
      <c r="K64" s="155">
        <f t="shared" si="13"/>
        <v>6518.2772725461646</v>
      </c>
      <c r="L64" s="156">
        <f t="shared" si="21"/>
        <v>-1498.8870547312754</v>
      </c>
      <c r="M64" s="105">
        <f t="shared" si="7"/>
        <v>-107.33409034249776</v>
      </c>
      <c r="N64" s="157">
        <f t="shared" si="8"/>
        <v>-1606.2211450737732</v>
      </c>
      <c r="O64" s="105">
        <f t="shared" si="9"/>
        <v>0</v>
      </c>
      <c r="P64" s="105">
        <f t="shared" si="10"/>
        <v>0</v>
      </c>
      <c r="Q64" s="105">
        <v>0</v>
      </c>
      <c r="R64" s="157">
        <f t="shared" si="11"/>
        <v>-1606.2211450737732</v>
      </c>
    </row>
    <row r="65" spans="1:18" x14ac:dyDescent="0.2">
      <c r="A65" s="87">
        <v>10</v>
      </c>
      <c r="B65" s="151">
        <f t="shared" si="4"/>
        <v>45931</v>
      </c>
      <c r="C65" s="167">
        <f t="shared" si="20"/>
        <v>45966</v>
      </c>
      <c r="D65" s="167">
        <f t="shared" si="20"/>
        <v>45985</v>
      </c>
      <c r="E65" s="1" t="s">
        <v>14</v>
      </c>
      <c r="F65" s="87">
        <v>9</v>
      </c>
      <c r="G65" s="153">
        <v>738</v>
      </c>
      <c r="H65" s="154">
        <f t="shared" si="5"/>
        <v>7.9978862239830235</v>
      </c>
      <c r="I65" s="154">
        <f t="shared" si="22"/>
        <v>6.1587610034538516</v>
      </c>
      <c r="J65" s="105">
        <f t="shared" si="2"/>
        <v>4545.1656205489426</v>
      </c>
      <c r="K65" s="155">
        <f t="shared" si="13"/>
        <v>5902.440033299471</v>
      </c>
      <c r="L65" s="156">
        <f t="shared" si="21"/>
        <v>-1357.2744127505284</v>
      </c>
      <c r="M65" s="105">
        <f t="shared" si="7"/>
        <v>-97.193323524863004</v>
      </c>
      <c r="N65" s="157">
        <f t="shared" si="8"/>
        <v>-1454.4677362753914</v>
      </c>
      <c r="O65" s="105">
        <f t="shared" si="9"/>
        <v>0</v>
      </c>
      <c r="P65" s="105">
        <f t="shared" si="10"/>
        <v>0</v>
      </c>
      <c r="Q65" s="105">
        <v>0</v>
      </c>
      <c r="R65" s="157">
        <f t="shared" si="11"/>
        <v>-1454.4677362753914</v>
      </c>
    </row>
    <row r="66" spans="1:18" x14ac:dyDescent="0.2">
      <c r="A66" s="87">
        <v>11</v>
      </c>
      <c r="B66" s="151">
        <f t="shared" si="4"/>
        <v>45962</v>
      </c>
      <c r="C66" s="167">
        <f t="shared" si="20"/>
        <v>45994</v>
      </c>
      <c r="D66" s="167">
        <f t="shared" si="20"/>
        <v>46015</v>
      </c>
      <c r="E66" s="1" t="s">
        <v>14</v>
      </c>
      <c r="F66" s="87">
        <v>9</v>
      </c>
      <c r="G66" s="153">
        <v>706</v>
      </c>
      <c r="H66" s="154">
        <f t="shared" si="5"/>
        <v>7.9978862239830235</v>
      </c>
      <c r="I66" s="154">
        <f t="shared" si="22"/>
        <v>6.1587610034538516</v>
      </c>
      <c r="J66" s="105">
        <f t="shared" si="2"/>
        <v>4348.085268438419</v>
      </c>
      <c r="K66" s="155">
        <f t="shared" si="13"/>
        <v>5646.5076741320145</v>
      </c>
      <c r="L66" s="156">
        <f t="shared" si="21"/>
        <v>-1298.4224056935955</v>
      </c>
      <c r="M66" s="105">
        <f t="shared" si="7"/>
        <v>-92.978978873378438</v>
      </c>
      <c r="N66" s="157">
        <f t="shared" si="8"/>
        <v>-1391.401384566974</v>
      </c>
      <c r="O66" s="105">
        <f t="shared" si="9"/>
        <v>0</v>
      </c>
      <c r="P66" s="105">
        <f t="shared" si="10"/>
        <v>0</v>
      </c>
      <c r="Q66" s="105">
        <v>0</v>
      </c>
      <c r="R66" s="157">
        <f t="shared" si="11"/>
        <v>-1391.401384566974</v>
      </c>
    </row>
    <row r="67" spans="1:18" s="171" customFormat="1" x14ac:dyDescent="0.2">
      <c r="A67" s="87">
        <v>12</v>
      </c>
      <c r="B67" s="169">
        <f t="shared" si="4"/>
        <v>45992</v>
      </c>
      <c r="C67" s="167">
        <f t="shared" si="20"/>
        <v>46028</v>
      </c>
      <c r="D67" s="167">
        <f t="shared" si="20"/>
        <v>46048</v>
      </c>
      <c r="E67" s="170" t="s">
        <v>14</v>
      </c>
      <c r="F67" s="128">
        <v>9</v>
      </c>
      <c r="G67" s="191">
        <v>863</v>
      </c>
      <c r="H67" s="159">
        <f t="shared" si="5"/>
        <v>7.9978862239830235</v>
      </c>
      <c r="I67" s="159">
        <f t="shared" si="22"/>
        <v>6.1587610034538516</v>
      </c>
      <c r="J67" s="160">
        <f t="shared" si="2"/>
        <v>5315.0107459806741</v>
      </c>
      <c r="K67" s="161">
        <f t="shared" si="13"/>
        <v>6902.1758112973494</v>
      </c>
      <c r="L67" s="162">
        <f t="shared" si="21"/>
        <v>-1587.1650653166753</v>
      </c>
      <c r="M67" s="160">
        <f t="shared" si="7"/>
        <v>-113.65560731972461</v>
      </c>
      <c r="N67" s="192">
        <f t="shared" si="8"/>
        <v>-1700.8206726363999</v>
      </c>
      <c r="O67" s="160">
        <f t="shared" si="9"/>
        <v>0</v>
      </c>
      <c r="P67" s="160">
        <f t="shared" si="10"/>
        <v>0</v>
      </c>
      <c r="Q67" s="160">
        <v>0</v>
      </c>
      <c r="R67" s="192">
        <f t="shared" si="11"/>
        <v>-1700.8206726363999</v>
      </c>
    </row>
    <row r="68" spans="1:18" x14ac:dyDescent="0.2">
      <c r="A68" s="87">
        <v>1</v>
      </c>
      <c r="B68" s="151">
        <f t="shared" si="4"/>
        <v>45658</v>
      </c>
      <c r="C68" s="164">
        <f t="shared" ref="C68:D79" si="23">+C56</f>
        <v>45693</v>
      </c>
      <c r="D68" s="164">
        <f t="shared" si="23"/>
        <v>45712</v>
      </c>
      <c r="E68" s="152" t="s">
        <v>86</v>
      </c>
      <c r="F68" s="87">
        <v>9</v>
      </c>
      <c r="G68" s="153">
        <v>47</v>
      </c>
      <c r="H68" s="154">
        <f t="shared" si="5"/>
        <v>7.9978862239830235</v>
      </c>
      <c r="I68" s="154">
        <f t="shared" si="22"/>
        <v>6.1587610034538516</v>
      </c>
      <c r="J68" s="105">
        <f t="shared" si="2"/>
        <v>289.461767162331</v>
      </c>
      <c r="K68" s="155">
        <f t="shared" si="13"/>
        <v>375.90065252720211</v>
      </c>
      <c r="L68" s="156">
        <f t="shared" si="21"/>
        <v>-86.438885364871112</v>
      </c>
      <c r="M68" s="105">
        <f t="shared" si="7"/>
        <v>-6.1898187068679693</v>
      </c>
      <c r="N68" s="157">
        <f t="shared" si="8"/>
        <v>-92.628704071739079</v>
      </c>
      <c r="O68" s="105">
        <f t="shared" si="9"/>
        <v>0</v>
      </c>
      <c r="P68" s="105">
        <f t="shared" si="10"/>
        <v>0</v>
      </c>
      <c r="Q68" s="105">
        <v>0</v>
      </c>
      <c r="R68" s="157">
        <f t="shared" si="11"/>
        <v>-92.628704071739079</v>
      </c>
    </row>
    <row r="69" spans="1:18" x14ac:dyDescent="0.2">
      <c r="A69" s="87">
        <v>2</v>
      </c>
      <c r="B69" s="151">
        <f t="shared" si="4"/>
        <v>45689</v>
      </c>
      <c r="C69" s="167">
        <f t="shared" si="23"/>
        <v>45721</v>
      </c>
      <c r="D69" s="167">
        <f t="shared" si="23"/>
        <v>45740</v>
      </c>
      <c r="E69" s="158" t="s">
        <v>86</v>
      </c>
      <c r="F69" s="87">
        <v>9</v>
      </c>
      <c r="G69" s="153">
        <v>57</v>
      </c>
      <c r="H69" s="154">
        <f t="shared" si="5"/>
        <v>7.9978862239830235</v>
      </c>
      <c r="I69" s="154">
        <f t="shared" si="22"/>
        <v>6.1587610034538516</v>
      </c>
      <c r="J69" s="105">
        <f t="shared" si="2"/>
        <v>351.04937719686956</v>
      </c>
      <c r="K69" s="155">
        <f t="shared" si="13"/>
        <v>455.87951476703233</v>
      </c>
      <c r="L69" s="156">
        <f t="shared" si="21"/>
        <v>-104.83013757016278</v>
      </c>
      <c r="M69" s="105">
        <f t="shared" si="7"/>
        <v>-7.506801410456899</v>
      </c>
      <c r="N69" s="157">
        <f t="shared" si="8"/>
        <v>-112.33693898061968</v>
      </c>
      <c r="O69" s="105">
        <f t="shared" si="9"/>
        <v>0</v>
      </c>
      <c r="P69" s="105">
        <f t="shared" si="10"/>
        <v>0</v>
      </c>
      <c r="Q69" s="105">
        <v>0</v>
      </c>
      <c r="R69" s="157">
        <f t="shared" si="11"/>
        <v>-112.33693898061968</v>
      </c>
    </row>
    <row r="70" spans="1:18" x14ac:dyDescent="0.2">
      <c r="A70" s="87">
        <v>3</v>
      </c>
      <c r="B70" s="151">
        <f t="shared" si="4"/>
        <v>45717</v>
      </c>
      <c r="C70" s="167">
        <f t="shared" si="23"/>
        <v>45750</v>
      </c>
      <c r="D70" s="167">
        <f t="shared" si="23"/>
        <v>45771</v>
      </c>
      <c r="E70" s="158" t="s">
        <v>86</v>
      </c>
      <c r="F70" s="87">
        <v>9</v>
      </c>
      <c r="G70" s="153">
        <v>34</v>
      </c>
      <c r="H70" s="154">
        <f t="shared" si="5"/>
        <v>7.9978862239830235</v>
      </c>
      <c r="I70" s="154">
        <f t="shared" si="22"/>
        <v>6.1587610034538516</v>
      </c>
      <c r="J70" s="105">
        <f t="shared" si="2"/>
        <v>209.39787411743094</v>
      </c>
      <c r="K70" s="155">
        <f t="shared" si="13"/>
        <v>271.92813161542279</v>
      </c>
      <c r="L70" s="156">
        <f>+J70-K70</f>
        <v>-62.53025749799184</v>
      </c>
      <c r="M70" s="105">
        <f t="shared" si="7"/>
        <v>-4.4777411922023607</v>
      </c>
      <c r="N70" s="157">
        <f t="shared" si="8"/>
        <v>-67.007998690194199</v>
      </c>
      <c r="O70" s="105">
        <f t="shared" si="9"/>
        <v>0</v>
      </c>
      <c r="P70" s="105">
        <f t="shared" si="10"/>
        <v>0</v>
      </c>
      <c r="Q70" s="105">
        <v>0</v>
      </c>
      <c r="R70" s="157">
        <f t="shared" si="11"/>
        <v>-67.007998690194199</v>
      </c>
    </row>
    <row r="71" spans="1:18" x14ac:dyDescent="0.2">
      <c r="A71" s="87">
        <v>4</v>
      </c>
      <c r="B71" s="151">
        <f t="shared" si="4"/>
        <v>45748</v>
      </c>
      <c r="C71" s="167">
        <f t="shared" si="23"/>
        <v>45782</v>
      </c>
      <c r="D71" s="167">
        <f t="shared" si="23"/>
        <v>45803</v>
      </c>
      <c r="E71" s="158" t="s">
        <v>86</v>
      </c>
      <c r="F71" s="87">
        <v>9</v>
      </c>
      <c r="G71" s="153">
        <v>27</v>
      </c>
      <c r="H71" s="154">
        <f t="shared" si="5"/>
        <v>7.9978862239830235</v>
      </c>
      <c r="I71" s="154">
        <f t="shared" si="22"/>
        <v>6.1587610034538516</v>
      </c>
      <c r="J71" s="105">
        <f t="shared" si="2"/>
        <v>166.286547093254</v>
      </c>
      <c r="K71" s="155">
        <f t="shared" si="13"/>
        <v>215.94292804754164</v>
      </c>
      <c r="L71" s="156">
        <f t="shared" ref="L71:L79" si="24">+J71-K71</f>
        <v>-49.656380954287641</v>
      </c>
      <c r="M71" s="105">
        <f t="shared" si="7"/>
        <v>-3.55585329969011</v>
      </c>
      <c r="N71" s="157">
        <f t="shared" si="8"/>
        <v>-53.212234253977755</v>
      </c>
      <c r="O71" s="105">
        <f t="shared" si="9"/>
        <v>0</v>
      </c>
      <c r="P71" s="105">
        <f t="shared" si="10"/>
        <v>0</v>
      </c>
      <c r="Q71" s="105">
        <v>0</v>
      </c>
      <c r="R71" s="157">
        <f t="shared" si="11"/>
        <v>-53.212234253977755</v>
      </c>
    </row>
    <row r="72" spans="1:18" x14ac:dyDescent="0.2">
      <c r="A72" s="87">
        <v>5</v>
      </c>
      <c r="B72" s="151">
        <f t="shared" si="4"/>
        <v>45778</v>
      </c>
      <c r="C72" s="167">
        <f t="shared" si="23"/>
        <v>45812</v>
      </c>
      <c r="D72" s="167">
        <f t="shared" si="23"/>
        <v>45832</v>
      </c>
      <c r="E72" s="158" t="s">
        <v>86</v>
      </c>
      <c r="F72" s="87">
        <v>9</v>
      </c>
      <c r="G72" s="153">
        <v>40</v>
      </c>
      <c r="H72" s="154">
        <f t="shared" si="5"/>
        <v>7.9978862239830235</v>
      </c>
      <c r="I72" s="154">
        <f t="shared" si="22"/>
        <v>6.1587610034538516</v>
      </c>
      <c r="J72" s="105">
        <f t="shared" si="2"/>
        <v>246.35044013815406</v>
      </c>
      <c r="K72" s="155">
        <f t="shared" si="13"/>
        <v>319.91544895932094</v>
      </c>
      <c r="L72" s="156">
        <f t="shared" si="24"/>
        <v>-73.565008821166884</v>
      </c>
      <c r="M72" s="105">
        <f t="shared" si="7"/>
        <v>-5.2679308143557178</v>
      </c>
      <c r="N72" s="157">
        <f t="shared" si="8"/>
        <v>-78.832939635522607</v>
      </c>
      <c r="O72" s="105">
        <f t="shared" si="9"/>
        <v>0</v>
      </c>
      <c r="P72" s="105">
        <f t="shared" si="10"/>
        <v>0</v>
      </c>
      <c r="Q72" s="105">
        <v>0</v>
      </c>
      <c r="R72" s="157">
        <f t="shared" si="11"/>
        <v>-78.832939635522607</v>
      </c>
    </row>
    <row r="73" spans="1:18" x14ac:dyDescent="0.2">
      <c r="A73" s="87">
        <v>6</v>
      </c>
      <c r="B73" s="151">
        <f t="shared" si="4"/>
        <v>45809</v>
      </c>
      <c r="C73" s="167">
        <f t="shared" si="23"/>
        <v>45841</v>
      </c>
      <c r="D73" s="167">
        <f t="shared" si="23"/>
        <v>45862</v>
      </c>
      <c r="E73" s="158" t="s">
        <v>86</v>
      </c>
      <c r="F73" s="87">
        <v>9</v>
      </c>
      <c r="G73" s="153">
        <v>46</v>
      </c>
      <c r="H73" s="154">
        <f t="shared" si="5"/>
        <v>7.9978862239830235</v>
      </c>
      <c r="I73" s="154">
        <f t="shared" si="22"/>
        <v>6.1587610034538516</v>
      </c>
      <c r="J73" s="105">
        <f t="shared" si="2"/>
        <v>283.30300615887717</v>
      </c>
      <c r="K73" s="155">
        <f t="shared" si="13"/>
        <v>367.9027663032191</v>
      </c>
      <c r="L73" s="156">
        <f t="shared" si="24"/>
        <v>-84.599760144341928</v>
      </c>
      <c r="M73" s="105">
        <f t="shared" si="7"/>
        <v>-6.0581204365090766</v>
      </c>
      <c r="N73" s="157">
        <f t="shared" si="8"/>
        <v>-90.657880580851</v>
      </c>
      <c r="O73" s="105">
        <f t="shared" si="9"/>
        <v>0</v>
      </c>
      <c r="P73" s="105">
        <f t="shared" si="10"/>
        <v>0</v>
      </c>
      <c r="Q73" s="105">
        <v>0</v>
      </c>
      <c r="R73" s="157">
        <f t="shared" si="11"/>
        <v>-90.657880580851</v>
      </c>
    </row>
    <row r="74" spans="1:18" x14ac:dyDescent="0.2">
      <c r="A74" s="87">
        <v>7</v>
      </c>
      <c r="B74" s="151">
        <f t="shared" si="4"/>
        <v>45839</v>
      </c>
      <c r="C74" s="167">
        <f t="shared" si="23"/>
        <v>45874</v>
      </c>
      <c r="D74" s="167">
        <f t="shared" si="23"/>
        <v>45894</v>
      </c>
      <c r="E74" s="158" t="s">
        <v>86</v>
      </c>
      <c r="F74" s="87">
        <v>9</v>
      </c>
      <c r="G74" s="153">
        <v>55</v>
      </c>
      <c r="H74" s="154">
        <f t="shared" si="5"/>
        <v>7.9978862239830235</v>
      </c>
      <c r="I74" s="154">
        <f t="shared" si="22"/>
        <v>6.1587610034538516</v>
      </c>
      <c r="J74" s="105">
        <f t="shared" si="2"/>
        <v>338.73185518996183</v>
      </c>
      <c r="K74" s="155">
        <f t="shared" si="13"/>
        <v>439.8837423190663</v>
      </c>
      <c r="L74" s="156">
        <f t="shared" si="24"/>
        <v>-101.15188712910447</v>
      </c>
      <c r="M74" s="105">
        <f t="shared" si="7"/>
        <v>-7.2434048697391136</v>
      </c>
      <c r="N74" s="157">
        <f t="shared" si="8"/>
        <v>-108.39529199884358</v>
      </c>
      <c r="O74" s="105">
        <f t="shared" si="9"/>
        <v>0</v>
      </c>
      <c r="P74" s="105">
        <f t="shared" si="10"/>
        <v>0</v>
      </c>
      <c r="Q74" s="105">
        <v>0</v>
      </c>
      <c r="R74" s="157">
        <f t="shared" si="11"/>
        <v>-108.39529199884358</v>
      </c>
    </row>
    <row r="75" spans="1:18" x14ac:dyDescent="0.2">
      <c r="A75" s="87">
        <v>8</v>
      </c>
      <c r="B75" s="151">
        <f t="shared" si="4"/>
        <v>45870</v>
      </c>
      <c r="C75" s="167">
        <f t="shared" si="23"/>
        <v>45904</v>
      </c>
      <c r="D75" s="167">
        <f t="shared" si="23"/>
        <v>45924</v>
      </c>
      <c r="E75" s="158" t="s">
        <v>86</v>
      </c>
      <c r="F75" s="87">
        <v>9</v>
      </c>
      <c r="G75" s="153">
        <v>55</v>
      </c>
      <c r="H75" s="154">
        <f t="shared" si="5"/>
        <v>7.9978862239830235</v>
      </c>
      <c r="I75" s="154">
        <f t="shared" si="22"/>
        <v>6.1587610034538516</v>
      </c>
      <c r="J75" s="105">
        <f t="shared" si="2"/>
        <v>338.73185518996183</v>
      </c>
      <c r="K75" s="155">
        <f t="shared" si="13"/>
        <v>439.8837423190663</v>
      </c>
      <c r="L75" s="156">
        <f t="shared" si="24"/>
        <v>-101.15188712910447</v>
      </c>
      <c r="M75" s="105">
        <f t="shared" si="7"/>
        <v>-7.2434048697391136</v>
      </c>
      <c r="N75" s="157">
        <f t="shared" si="8"/>
        <v>-108.39529199884358</v>
      </c>
      <c r="O75" s="105">
        <f t="shared" si="9"/>
        <v>0</v>
      </c>
      <c r="P75" s="105">
        <f t="shared" si="10"/>
        <v>0</v>
      </c>
      <c r="Q75" s="105">
        <v>0</v>
      </c>
      <c r="R75" s="157">
        <f t="shared" si="11"/>
        <v>-108.39529199884358</v>
      </c>
    </row>
    <row r="76" spans="1:18" x14ac:dyDescent="0.2">
      <c r="A76" s="87">
        <v>9</v>
      </c>
      <c r="B76" s="151">
        <f t="shared" si="4"/>
        <v>45901</v>
      </c>
      <c r="C76" s="167">
        <f t="shared" si="23"/>
        <v>45933</v>
      </c>
      <c r="D76" s="167">
        <f t="shared" si="23"/>
        <v>45954</v>
      </c>
      <c r="E76" s="158" t="s">
        <v>86</v>
      </c>
      <c r="F76" s="87">
        <v>9</v>
      </c>
      <c r="G76" s="153">
        <v>44</v>
      </c>
      <c r="H76" s="154">
        <f t="shared" si="5"/>
        <v>7.9978862239830235</v>
      </c>
      <c r="I76" s="154">
        <f t="shared" si="22"/>
        <v>6.1587610034538516</v>
      </c>
      <c r="J76" s="105">
        <f t="shared" si="2"/>
        <v>270.98548415196944</v>
      </c>
      <c r="K76" s="155">
        <f t="shared" si="13"/>
        <v>351.90699385525306</v>
      </c>
      <c r="L76" s="156">
        <f t="shared" si="24"/>
        <v>-80.921509703283618</v>
      </c>
      <c r="M76" s="105">
        <f t="shared" si="7"/>
        <v>-5.7947238957912903</v>
      </c>
      <c r="N76" s="157">
        <f t="shared" si="8"/>
        <v>-86.716233599074911</v>
      </c>
      <c r="O76" s="105">
        <f t="shared" si="9"/>
        <v>0</v>
      </c>
      <c r="P76" s="105">
        <f t="shared" si="10"/>
        <v>0</v>
      </c>
      <c r="Q76" s="105">
        <v>0</v>
      </c>
      <c r="R76" s="157">
        <f t="shared" si="11"/>
        <v>-86.716233599074911</v>
      </c>
    </row>
    <row r="77" spans="1:18" x14ac:dyDescent="0.2">
      <c r="A77" s="87">
        <v>10</v>
      </c>
      <c r="B77" s="151">
        <f t="shared" si="4"/>
        <v>45931</v>
      </c>
      <c r="C77" s="167">
        <f t="shared" si="23"/>
        <v>45966</v>
      </c>
      <c r="D77" s="167">
        <f t="shared" si="23"/>
        <v>45985</v>
      </c>
      <c r="E77" s="158" t="s">
        <v>86</v>
      </c>
      <c r="F77" s="87">
        <v>9</v>
      </c>
      <c r="G77" s="153">
        <v>34</v>
      </c>
      <c r="H77" s="154">
        <f t="shared" si="5"/>
        <v>7.9978862239830235</v>
      </c>
      <c r="I77" s="154">
        <f t="shared" si="22"/>
        <v>6.1587610034538516</v>
      </c>
      <c r="J77" s="105">
        <f t="shared" si="2"/>
        <v>209.39787411743094</v>
      </c>
      <c r="K77" s="155">
        <f t="shared" si="13"/>
        <v>271.92813161542279</v>
      </c>
      <c r="L77" s="156">
        <f t="shared" si="24"/>
        <v>-62.53025749799184</v>
      </c>
      <c r="M77" s="105">
        <f t="shared" si="7"/>
        <v>-4.4777411922023607</v>
      </c>
      <c r="N77" s="157">
        <f t="shared" si="8"/>
        <v>-67.007998690194199</v>
      </c>
      <c r="O77" s="105">
        <f t="shared" si="9"/>
        <v>0</v>
      </c>
      <c r="P77" s="105">
        <f t="shared" si="10"/>
        <v>0</v>
      </c>
      <c r="Q77" s="105">
        <v>0</v>
      </c>
      <c r="R77" s="157">
        <f t="shared" si="11"/>
        <v>-67.007998690194199</v>
      </c>
    </row>
    <row r="78" spans="1:18" x14ac:dyDescent="0.2">
      <c r="A78" s="87">
        <v>11</v>
      </c>
      <c r="B78" s="151">
        <f t="shared" si="4"/>
        <v>45962</v>
      </c>
      <c r="C78" s="167">
        <f t="shared" si="23"/>
        <v>45994</v>
      </c>
      <c r="D78" s="167">
        <f t="shared" si="23"/>
        <v>46015</v>
      </c>
      <c r="E78" s="158" t="s">
        <v>86</v>
      </c>
      <c r="F78" s="87">
        <v>9</v>
      </c>
      <c r="G78" s="153">
        <v>35</v>
      </c>
      <c r="H78" s="154">
        <f t="shared" si="5"/>
        <v>7.9978862239830235</v>
      </c>
      <c r="I78" s="154">
        <f t="shared" si="22"/>
        <v>6.1587610034538516</v>
      </c>
      <c r="J78" s="105">
        <f t="shared" si="2"/>
        <v>215.55663512088481</v>
      </c>
      <c r="K78" s="155">
        <f>+$G78*H78</f>
        <v>279.9260178394058</v>
      </c>
      <c r="L78" s="156">
        <f t="shared" si="24"/>
        <v>-64.369382718520995</v>
      </c>
      <c r="M78" s="105">
        <f t="shared" si="7"/>
        <v>-4.6094394625612534</v>
      </c>
      <c r="N78" s="157">
        <f t="shared" si="8"/>
        <v>-68.978822181082251</v>
      </c>
      <c r="O78" s="105">
        <f t="shared" si="9"/>
        <v>0</v>
      </c>
      <c r="P78" s="105">
        <f t="shared" si="10"/>
        <v>0</v>
      </c>
      <c r="Q78" s="105">
        <v>0</v>
      </c>
      <c r="R78" s="157">
        <f t="shared" si="11"/>
        <v>-68.978822181082251</v>
      </c>
    </row>
    <row r="79" spans="1:18" s="171" customFormat="1" x14ac:dyDescent="0.2">
      <c r="A79" s="87">
        <v>12</v>
      </c>
      <c r="B79" s="169">
        <f t="shared" si="4"/>
        <v>45992</v>
      </c>
      <c r="C79" s="172">
        <f t="shared" si="23"/>
        <v>46028</v>
      </c>
      <c r="D79" s="172">
        <f t="shared" si="23"/>
        <v>46048</v>
      </c>
      <c r="E79" s="173" t="s">
        <v>86</v>
      </c>
      <c r="F79" s="128">
        <v>9</v>
      </c>
      <c r="G79" s="191">
        <v>39</v>
      </c>
      <c r="H79" s="159">
        <f t="shared" si="5"/>
        <v>7.9978862239830235</v>
      </c>
      <c r="I79" s="159">
        <f t="shared" si="22"/>
        <v>6.1587610034538516</v>
      </c>
      <c r="J79" s="160">
        <f t="shared" si="2"/>
        <v>240.19167913470022</v>
      </c>
      <c r="K79" s="161">
        <f>+$G79*H79</f>
        <v>311.91756273533792</v>
      </c>
      <c r="L79" s="162">
        <f t="shared" si="24"/>
        <v>-71.725883600637701</v>
      </c>
      <c r="M79" s="160">
        <f t="shared" si="7"/>
        <v>-5.1362325439968259</v>
      </c>
      <c r="N79" s="192">
        <f t="shared" si="8"/>
        <v>-76.862116144634527</v>
      </c>
      <c r="O79" s="160">
        <f t="shared" si="9"/>
        <v>0</v>
      </c>
      <c r="P79" s="160">
        <f t="shared" si="10"/>
        <v>0</v>
      </c>
      <c r="Q79" s="160">
        <v>0</v>
      </c>
      <c r="R79" s="192">
        <f t="shared" si="11"/>
        <v>-76.862116144634527</v>
      </c>
    </row>
    <row r="80" spans="1:18" ht="12.75" customHeight="1" x14ac:dyDescent="0.2">
      <c r="A80" s="87">
        <v>1</v>
      </c>
      <c r="B80" s="151">
        <f t="shared" si="4"/>
        <v>45658</v>
      </c>
      <c r="C80" s="164">
        <f t="shared" ref="C80:D91" si="25">+C56</f>
        <v>45693</v>
      </c>
      <c r="D80" s="164">
        <f t="shared" si="25"/>
        <v>45712</v>
      </c>
      <c r="E80" s="152" t="s">
        <v>9</v>
      </c>
      <c r="F80" s="87">
        <v>9</v>
      </c>
      <c r="G80" s="153">
        <v>67</v>
      </c>
      <c r="H80" s="154">
        <f t="shared" si="5"/>
        <v>7.9978862239830235</v>
      </c>
      <c r="I80" s="154">
        <f t="shared" si="22"/>
        <v>6.1587610034538516</v>
      </c>
      <c r="J80" s="105">
        <f t="shared" si="2"/>
        <v>412.63698723140806</v>
      </c>
      <c r="K80" s="155">
        <f t="shared" si="13"/>
        <v>535.85837700686261</v>
      </c>
      <c r="L80" s="156">
        <f t="shared" si="21"/>
        <v>-123.22138977545455</v>
      </c>
      <c r="M80" s="105">
        <f t="shared" si="7"/>
        <v>-8.8237841140458286</v>
      </c>
      <c r="N80" s="157">
        <f t="shared" si="8"/>
        <v>-132.04517388950038</v>
      </c>
      <c r="O80" s="105">
        <f t="shared" si="9"/>
        <v>0</v>
      </c>
      <c r="P80" s="105">
        <f t="shared" si="10"/>
        <v>0</v>
      </c>
      <c r="Q80" s="105">
        <v>0</v>
      </c>
      <c r="R80" s="157">
        <f t="shared" si="11"/>
        <v>-132.04517388950038</v>
      </c>
    </row>
    <row r="81" spans="1:18" x14ac:dyDescent="0.2">
      <c r="A81" s="87">
        <v>2</v>
      </c>
      <c r="B81" s="151">
        <f t="shared" si="4"/>
        <v>45689</v>
      </c>
      <c r="C81" s="167">
        <f t="shared" si="25"/>
        <v>45721</v>
      </c>
      <c r="D81" s="167">
        <f t="shared" si="25"/>
        <v>45740</v>
      </c>
      <c r="E81" s="158" t="s">
        <v>9</v>
      </c>
      <c r="F81" s="87">
        <v>9</v>
      </c>
      <c r="G81" s="153">
        <v>71</v>
      </c>
      <c r="H81" s="154">
        <f t="shared" si="5"/>
        <v>7.9978862239830235</v>
      </c>
      <c r="I81" s="154">
        <f t="shared" si="22"/>
        <v>6.1587610034538516</v>
      </c>
      <c r="J81" s="105">
        <f t="shared" si="2"/>
        <v>437.27203124522345</v>
      </c>
      <c r="K81" s="155">
        <f t="shared" si="13"/>
        <v>567.84992190279468</v>
      </c>
      <c r="L81" s="156">
        <f t="shared" si="21"/>
        <v>-130.57789065757123</v>
      </c>
      <c r="M81" s="105">
        <f t="shared" si="7"/>
        <v>-9.3505771954814012</v>
      </c>
      <c r="N81" s="157">
        <f t="shared" si="8"/>
        <v>-139.92846785305264</v>
      </c>
      <c r="O81" s="105">
        <f t="shared" si="9"/>
        <v>0</v>
      </c>
      <c r="P81" s="105">
        <f t="shared" si="10"/>
        <v>0</v>
      </c>
      <c r="Q81" s="105">
        <v>0</v>
      </c>
      <c r="R81" s="157">
        <f t="shared" si="11"/>
        <v>-139.92846785305264</v>
      </c>
    </row>
    <row r="82" spans="1:18" x14ac:dyDescent="0.2">
      <c r="A82" s="87">
        <v>3</v>
      </c>
      <c r="B82" s="151">
        <f t="shared" si="4"/>
        <v>45717</v>
      </c>
      <c r="C82" s="167">
        <f t="shared" si="25"/>
        <v>45750</v>
      </c>
      <c r="D82" s="167">
        <f t="shared" si="25"/>
        <v>45771</v>
      </c>
      <c r="E82" s="158" t="s">
        <v>9</v>
      </c>
      <c r="F82" s="87">
        <v>9</v>
      </c>
      <c r="G82" s="153">
        <v>49</v>
      </c>
      <c r="H82" s="154">
        <f t="shared" si="5"/>
        <v>7.9978862239830235</v>
      </c>
      <c r="I82" s="154">
        <f t="shared" si="22"/>
        <v>6.1587610034538516</v>
      </c>
      <c r="J82" s="105">
        <f t="shared" si="2"/>
        <v>301.77928916923872</v>
      </c>
      <c r="K82" s="155">
        <f t="shared" si="13"/>
        <v>391.89642497516815</v>
      </c>
      <c r="L82" s="156">
        <f>+J82-K82</f>
        <v>-90.117135805929422</v>
      </c>
      <c r="M82" s="105">
        <f t="shared" si="7"/>
        <v>-6.4532152475857547</v>
      </c>
      <c r="N82" s="157">
        <f t="shared" si="8"/>
        <v>-96.570351053515182</v>
      </c>
      <c r="O82" s="105">
        <f t="shared" si="9"/>
        <v>0</v>
      </c>
      <c r="P82" s="105">
        <f t="shared" si="10"/>
        <v>0</v>
      </c>
      <c r="Q82" s="105">
        <v>0</v>
      </c>
      <c r="R82" s="157">
        <f t="shared" si="11"/>
        <v>-96.570351053515182</v>
      </c>
    </row>
    <row r="83" spans="1:18" ht="12" customHeight="1" x14ac:dyDescent="0.2">
      <c r="A83" s="87">
        <v>4</v>
      </c>
      <c r="B83" s="151">
        <f t="shared" si="4"/>
        <v>45748</v>
      </c>
      <c r="C83" s="167">
        <f t="shared" si="25"/>
        <v>45782</v>
      </c>
      <c r="D83" s="167">
        <f t="shared" si="25"/>
        <v>45803</v>
      </c>
      <c r="E83" s="1" t="s">
        <v>9</v>
      </c>
      <c r="F83" s="87">
        <v>9</v>
      </c>
      <c r="G83" s="153">
        <v>37</v>
      </c>
      <c r="H83" s="154">
        <f t="shared" si="5"/>
        <v>7.9978862239830235</v>
      </c>
      <c r="I83" s="154">
        <f t="shared" si="22"/>
        <v>6.1587610034538516</v>
      </c>
      <c r="J83" s="105">
        <f t="shared" si="2"/>
        <v>227.8741571277925</v>
      </c>
      <c r="K83" s="155">
        <f t="shared" si="13"/>
        <v>295.92179028737189</v>
      </c>
      <c r="L83" s="156">
        <f t="shared" ref="L83:L93" si="26">+J83-K83</f>
        <v>-68.047633159579391</v>
      </c>
      <c r="M83" s="105">
        <f t="shared" si="7"/>
        <v>-4.8728360032790397</v>
      </c>
      <c r="N83" s="157">
        <f t="shared" si="8"/>
        <v>-72.920469162858424</v>
      </c>
      <c r="O83" s="105">
        <f t="shared" si="9"/>
        <v>0</v>
      </c>
      <c r="P83" s="105">
        <f t="shared" si="10"/>
        <v>0</v>
      </c>
      <c r="Q83" s="105">
        <v>0</v>
      </c>
      <c r="R83" s="157">
        <f t="shared" si="11"/>
        <v>-72.920469162858424</v>
      </c>
    </row>
    <row r="84" spans="1:18" ht="12" customHeight="1" x14ac:dyDescent="0.2">
      <c r="A84" s="87">
        <v>5</v>
      </c>
      <c r="B84" s="151">
        <f t="shared" si="4"/>
        <v>45778</v>
      </c>
      <c r="C84" s="167">
        <f t="shared" si="25"/>
        <v>45812</v>
      </c>
      <c r="D84" s="167">
        <f t="shared" si="25"/>
        <v>45832</v>
      </c>
      <c r="E84" s="1" t="s">
        <v>9</v>
      </c>
      <c r="F84" s="87">
        <v>9</v>
      </c>
      <c r="G84" s="153">
        <v>50</v>
      </c>
      <c r="H84" s="154">
        <f t="shared" si="5"/>
        <v>7.9978862239830235</v>
      </c>
      <c r="I84" s="154">
        <f t="shared" si="22"/>
        <v>6.1587610034538516</v>
      </c>
      <c r="J84" s="105">
        <f t="shared" si="2"/>
        <v>307.93805017269256</v>
      </c>
      <c r="K84" s="155">
        <f t="shared" si="13"/>
        <v>399.89431119915116</v>
      </c>
      <c r="L84" s="156">
        <f t="shared" si="26"/>
        <v>-91.956261026458606</v>
      </c>
      <c r="M84" s="105">
        <f t="shared" si="7"/>
        <v>-6.5849135179446483</v>
      </c>
      <c r="N84" s="157">
        <f t="shared" si="8"/>
        <v>-98.541174544403248</v>
      </c>
      <c r="O84" s="105">
        <f t="shared" si="9"/>
        <v>0</v>
      </c>
      <c r="P84" s="105">
        <f t="shared" si="10"/>
        <v>0</v>
      </c>
      <c r="Q84" s="105">
        <v>0</v>
      </c>
      <c r="R84" s="157">
        <f t="shared" si="11"/>
        <v>-98.541174544403248</v>
      </c>
    </row>
    <row r="85" spans="1:18" x14ac:dyDescent="0.2">
      <c r="A85" s="87">
        <v>6</v>
      </c>
      <c r="B85" s="151">
        <f t="shared" si="4"/>
        <v>45809</v>
      </c>
      <c r="C85" s="167">
        <f t="shared" si="25"/>
        <v>45841</v>
      </c>
      <c r="D85" s="167">
        <f t="shared" si="25"/>
        <v>45862</v>
      </c>
      <c r="E85" s="1" t="s">
        <v>9</v>
      </c>
      <c r="F85" s="87">
        <v>9</v>
      </c>
      <c r="G85" s="153">
        <v>54</v>
      </c>
      <c r="H85" s="154">
        <f t="shared" ref="H85:H148" si="27">+$K$3</f>
        <v>7.9978862239830235</v>
      </c>
      <c r="I85" s="154">
        <f t="shared" si="22"/>
        <v>6.1587610034538516</v>
      </c>
      <c r="J85" s="105">
        <f t="shared" si="2"/>
        <v>332.573094186508</v>
      </c>
      <c r="K85" s="155">
        <f t="shared" si="13"/>
        <v>431.88585609508328</v>
      </c>
      <c r="L85" s="156">
        <f t="shared" si="26"/>
        <v>-99.312761908575283</v>
      </c>
      <c r="M85" s="105">
        <f t="shared" ref="M85:M148" si="28">G85/$G$212*$M$14</f>
        <v>-7.11170659938022</v>
      </c>
      <c r="N85" s="157">
        <f t="shared" ref="N85:N148" si="29">SUM(L85:M85)</f>
        <v>-106.42446850795551</v>
      </c>
      <c r="O85" s="105">
        <f t="shared" ref="O85:O148" si="30">+$P$3</f>
        <v>0</v>
      </c>
      <c r="P85" s="105">
        <f t="shared" ref="P85:P148" si="31">+G85*O85</f>
        <v>0</v>
      </c>
      <c r="Q85" s="105">
        <v>0</v>
      </c>
      <c r="R85" s="157">
        <f t="shared" ref="R85:R148" si="32">+N85-Q85</f>
        <v>-106.42446850795551</v>
      </c>
    </row>
    <row r="86" spans="1:18" x14ac:dyDescent="0.2">
      <c r="A86" s="87">
        <v>7</v>
      </c>
      <c r="B86" s="151">
        <f t="shared" si="4"/>
        <v>45839</v>
      </c>
      <c r="C86" s="167">
        <f t="shared" si="25"/>
        <v>45874</v>
      </c>
      <c r="D86" s="167">
        <f t="shared" si="25"/>
        <v>45894</v>
      </c>
      <c r="E86" s="1" t="s">
        <v>9</v>
      </c>
      <c r="F86" s="87">
        <v>9</v>
      </c>
      <c r="G86" s="153">
        <v>62</v>
      </c>
      <c r="H86" s="154">
        <f t="shared" si="27"/>
        <v>7.9978862239830235</v>
      </c>
      <c r="I86" s="154">
        <f t="shared" si="22"/>
        <v>6.1587610034538516</v>
      </c>
      <c r="J86" s="105">
        <f t="shared" si="2"/>
        <v>381.84318221413878</v>
      </c>
      <c r="K86" s="155">
        <f t="shared" si="13"/>
        <v>495.86894588694747</v>
      </c>
      <c r="L86" s="156">
        <f t="shared" si="26"/>
        <v>-114.02576367280869</v>
      </c>
      <c r="M86" s="105">
        <f t="shared" si="28"/>
        <v>-8.1652927622513634</v>
      </c>
      <c r="N86" s="157">
        <f t="shared" si="29"/>
        <v>-122.19105643506006</v>
      </c>
      <c r="O86" s="105">
        <f t="shared" si="30"/>
        <v>0</v>
      </c>
      <c r="P86" s="105">
        <f t="shared" si="31"/>
        <v>0</v>
      </c>
      <c r="Q86" s="105">
        <v>0</v>
      </c>
      <c r="R86" s="157">
        <f t="shared" si="32"/>
        <v>-122.19105643506006</v>
      </c>
    </row>
    <row r="87" spans="1:18" x14ac:dyDescent="0.2">
      <c r="A87" s="87">
        <v>8</v>
      </c>
      <c r="B87" s="151">
        <f t="shared" si="4"/>
        <v>45870</v>
      </c>
      <c r="C87" s="167">
        <f t="shared" si="25"/>
        <v>45904</v>
      </c>
      <c r="D87" s="167">
        <f t="shared" si="25"/>
        <v>45924</v>
      </c>
      <c r="E87" s="1" t="s">
        <v>9</v>
      </c>
      <c r="F87" s="87">
        <v>9</v>
      </c>
      <c r="G87" s="153">
        <v>55</v>
      </c>
      <c r="H87" s="154">
        <f t="shared" si="27"/>
        <v>7.9978862239830235</v>
      </c>
      <c r="I87" s="154">
        <f t="shared" si="22"/>
        <v>6.1587610034538516</v>
      </c>
      <c r="J87" s="105">
        <f t="shared" si="2"/>
        <v>338.73185518996183</v>
      </c>
      <c r="K87" s="155">
        <f t="shared" si="13"/>
        <v>439.8837423190663</v>
      </c>
      <c r="L87" s="156">
        <f t="shared" si="26"/>
        <v>-101.15188712910447</v>
      </c>
      <c r="M87" s="105">
        <f t="shared" si="28"/>
        <v>-7.2434048697391136</v>
      </c>
      <c r="N87" s="157">
        <f t="shared" si="29"/>
        <v>-108.39529199884358</v>
      </c>
      <c r="O87" s="105">
        <f t="shared" si="30"/>
        <v>0</v>
      </c>
      <c r="P87" s="105">
        <f t="shared" si="31"/>
        <v>0</v>
      </c>
      <c r="Q87" s="105">
        <v>0</v>
      </c>
      <c r="R87" s="157">
        <f t="shared" si="32"/>
        <v>-108.39529199884358</v>
      </c>
    </row>
    <row r="88" spans="1:18" x14ac:dyDescent="0.2">
      <c r="A88" s="87">
        <v>9</v>
      </c>
      <c r="B88" s="151">
        <f t="shared" si="4"/>
        <v>45901</v>
      </c>
      <c r="C88" s="167">
        <f t="shared" si="25"/>
        <v>45933</v>
      </c>
      <c r="D88" s="167">
        <f t="shared" si="25"/>
        <v>45954</v>
      </c>
      <c r="E88" s="1" t="s">
        <v>9</v>
      </c>
      <c r="F88" s="87">
        <v>9</v>
      </c>
      <c r="G88" s="153">
        <v>50</v>
      </c>
      <c r="H88" s="154">
        <f t="shared" si="27"/>
        <v>7.9978862239830235</v>
      </c>
      <c r="I88" s="154">
        <f t="shared" si="22"/>
        <v>6.1587610034538516</v>
      </c>
      <c r="J88" s="105">
        <f t="shared" si="2"/>
        <v>307.93805017269256</v>
      </c>
      <c r="K88" s="155">
        <f t="shared" si="13"/>
        <v>399.89431119915116</v>
      </c>
      <c r="L88" s="156">
        <f t="shared" si="26"/>
        <v>-91.956261026458606</v>
      </c>
      <c r="M88" s="105">
        <f t="shared" si="28"/>
        <v>-6.5849135179446483</v>
      </c>
      <c r="N88" s="157">
        <f t="shared" si="29"/>
        <v>-98.541174544403248</v>
      </c>
      <c r="O88" s="105">
        <f t="shared" si="30"/>
        <v>0</v>
      </c>
      <c r="P88" s="105">
        <f t="shared" si="31"/>
        <v>0</v>
      </c>
      <c r="Q88" s="105">
        <v>0</v>
      </c>
      <c r="R88" s="157">
        <f t="shared" si="32"/>
        <v>-98.541174544403248</v>
      </c>
    </row>
    <row r="89" spans="1:18" x14ac:dyDescent="0.2">
      <c r="A89" s="87">
        <v>10</v>
      </c>
      <c r="B89" s="151">
        <f t="shared" si="4"/>
        <v>45931</v>
      </c>
      <c r="C89" s="167">
        <f t="shared" si="25"/>
        <v>45966</v>
      </c>
      <c r="D89" s="167">
        <f t="shared" si="25"/>
        <v>45985</v>
      </c>
      <c r="E89" s="1" t="s">
        <v>9</v>
      </c>
      <c r="F89" s="87">
        <v>9</v>
      </c>
      <c r="G89" s="153">
        <v>47</v>
      </c>
      <c r="H89" s="154">
        <f t="shared" si="27"/>
        <v>7.9978862239830235</v>
      </c>
      <c r="I89" s="154">
        <f t="shared" si="22"/>
        <v>6.1587610034538516</v>
      </c>
      <c r="J89" s="105">
        <f t="shared" si="2"/>
        <v>289.461767162331</v>
      </c>
      <c r="K89" s="155">
        <f t="shared" si="13"/>
        <v>375.90065252720211</v>
      </c>
      <c r="L89" s="156">
        <f t="shared" si="26"/>
        <v>-86.438885364871112</v>
      </c>
      <c r="M89" s="105">
        <f t="shared" si="28"/>
        <v>-6.1898187068679693</v>
      </c>
      <c r="N89" s="157">
        <f t="shared" si="29"/>
        <v>-92.628704071739079</v>
      </c>
      <c r="O89" s="105">
        <f t="shared" si="30"/>
        <v>0</v>
      </c>
      <c r="P89" s="105">
        <f t="shared" si="31"/>
        <v>0</v>
      </c>
      <c r="Q89" s="105">
        <v>0</v>
      </c>
      <c r="R89" s="157">
        <f t="shared" si="32"/>
        <v>-92.628704071739079</v>
      </c>
    </row>
    <row r="90" spans="1:18" x14ac:dyDescent="0.2">
      <c r="A90" s="87">
        <v>11</v>
      </c>
      <c r="B90" s="151">
        <f t="shared" si="4"/>
        <v>45962</v>
      </c>
      <c r="C90" s="167">
        <f t="shared" si="25"/>
        <v>45994</v>
      </c>
      <c r="D90" s="167">
        <f t="shared" si="25"/>
        <v>46015</v>
      </c>
      <c r="E90" s="1" t="s">
        <v>9</v>
      </c>
      <c r="F90" s="87">
        <v>9</v>
      </c>
      <c r="G90" s="153">
        <v>48</v>
      </c>
      <c r="H90" s="154">
        <f t="shared" si="27"/>
        <v>7.9978862239830235</v>
      </c>
      <c r="I90" s="154">
        <f t="shared" si="22"/>
        <v>6.1587610034538516</v>
      </c>
      <c r="J90" s="105">
        <f t="shared" si="2"/>
        <v>295.62052816578489</v>
      </c>
      <c r="K90" s="155">
        <f t="shared" si="13"/>
        <v>383.89853875118513</v>
      </c>
      <c r="L90" s="156">
        <f t="shared" si="26"/>
        <v>-88.278010585400239</v>
      </c>
      <c r="M90" s="105">
        <f t="shared" si="28"/>
        <v>-6.3215169772268629</v>
      </c>
      <c r="N90" s="157">
        <f t="shared" si="29"/>
        <v>-94.599527562627102</v>
      </c>
      <c r="O90" s="105">
        <f t="shared" si="30"/>
        <v>0</v>
      </c>
      <c r="P90" s="105">
        <f t="shared" si="31"/>
        <v>0</v>
      </c>
      <c r="Q90" s="105">
        <v>0</v>
      </c>
      <c r="R90" s="157">
        <f t="shared" si="32"/>
        <v>-94.599527562627102</v>
      </c>
    </row>
    <row r="91" spans="1:18" s="171" customFormat="1" x14ac:dyDescent="0.2">
      <c r="A91" s="87">
        <v>12</v>
      </c>
      <c r="B91" s="169">
        <f t="shared" si="4"/>
        <v>45992</v>
      </c>
      <c r="C91" s="167">
        <f t="shared" si="25"/>
        <v>46028</v>
      </c>
      <c r="D91" s="167">
        <f t="shared" si="25"/>
        <v>46048</v>
      </c>
      <c r="E91" s="170" t="s">
        <v>9</v>
      </c>
      <c r="F91" s="128">
        <v>9</v>
      </c>
      <c r="G91" s="191">
        <v>58</v>
      </c>
      <c r="H91" s="159">
        <f t="shared" si="27"/>
        <v>7.9978862239830235</v>
      </c>
      <c r="I91" s="159">
        <f t="shared" si="22"/>
        <v>6.1587610034538516</v>
      </c>
      <c r="J91" s="160">
        <f t="shared" si="2"/>
        <v>357.20813820032339</v>
      </c>
      <c r="K91" s="161">
        <f t="shared" si="13"/>
        <v>463.87740099101535</v>
      </c>
      <c r="L91" s="162">
        <f t="shared" si="26"/>
        <v>-106.66926279069196</v>
      </c>
      <c r="M91" s="160">
        <f t="shared" si="28"/>
        <v>-7.6384996808157917</v>
      </c>
      <c r="N91" s="192">
        <f t="shared" si="29"/>
        <v>-114.30776247150776</v>
      </c>
      <c r="O91" s="160">
        <f t="shared" si="30"/>
        <v>0</v>
      </c>
      <c r="P91" s="160">
        <f t="shared" si="31"/>
        <v>0</v>
      </c>
      <c r="Q91" s="160">
        <v>0</v>
      </c>
      <c r="R91" s="192">
        <f t="shared" si="32"/>
        <v>-114.30776247150776</v>
      </c>
    </row>
    <row r="92" spans="1:18" x14ac:dyDescent="0.2">
      <c r="A92" s="87">
        <v>1</v>
      </c>
      <c r="B92" s="151">
        <f t="shared" si="4"/>
        <v>45658</v>
      </c>
      <c r="C92" s="164">
        <f t="shared" ref="C92:D95" si="33">+C80</f>
        <v>45693</v>
      </c>
      <c r="D92" s="164">
        <f t="shared" si="33"/>
        <v>45712</v>
      </c>
      <c r="E92" s="152" t="s">
        <v>8</v>
      </c>
      <c r="F92" s="87">
        <v>9</v>
      </c>
      <c r="G92" s="153">
        <v>89</v>
      </c>
      <c r="H92" s="154">
        <f t="shared" si="27"/>
        <v>7.9978862239830235</v>
      </c>
      <c r="I92" s="154">
        <f t="shared" si="22"/>
        <v>6.1587610034538516</v>
      </c>
      <c r="J92" s="105">
        <f t="shared" si="2"/>
        <v>548.12972930739284</v>
      </c>
      <c r="K92" s="155">
        <f t="shared" si="13"/>
        <v>711.81187393448909</v>
      </c>
      <c r="L92" s="156">
        <f t="shared" si="26"/>
        <v>-163.68214462709625</v>
      </c>
      <c r="M92" s="105">
        <f t="shared" si="28"/>
        <v>-11.721146061941473</v>
      </c>
      <c r="N92" s="157">
        <f t="shared" si="29"/>
        <v>-175.40329068903773</v>
      </c>
      <c r="O92" s="105">
        <f t="shared" si="30"/>
        <v>0</v>
      </c>
      <c r="P92" s="105">
        <f t="shared" si="31"/>
        <v>0</v>
      </c>
      <c r="Q92" s="105">
        <v>0</v>
      </c>
      <c r="R92" s="157">
        <f t="shared" si="32"/>
        <v>-175.40329068903773</v>
      </c>
    </row>
    <row r="93" spans="1:18" x14ac:dyDescent="0.2">
      <c r="A93" s="87">
        <v>2</v>
      </c>
      <c r="B93" s="151">
        <f t="shared" si="4"/>
        <v>45689</v>
      </c>
      <c r="C93" s="167">
        <f t="shared" si="33"/>
        <v>45721</v>
      </c>
      <c r="D93" s="167">
        <f t="shared" si="33"/>
        <v>45740</v>
      </c>
      <c r="E93" s="158" t="s">
        <v>8</v>
      </c>
      <c r="F93" s="87">
        <v>9</v>
      </c>
      <c r="G93" s="153">
        <v>102</v>
      </c>
      <c r="H93" s="154">
        <f t="shared" si="27"/>
        <v>7.9978862239830235</v>
      </c>
      <c r="I93" s="154">
        <f t="shared" si="22"/>
        <v>6.1587610034538516</v>
      </c>
      <c r="J93" s="105">
        <f t="shared" si="2"/>
        <v>628.19362235229289</v>
      </c>
      <c r="K93" s="155">
        <f t="shared" si="13"/>
        <v>815.78439484626836</v>
      </c>
      <c r="L93" s="156">
        <f t="shared" si="26"/>
        <v>-187.59077249397546</v>
      </c>
      <c r="M93" s="105">
        <f t="shared" si="28"/>
        <v>-13.433223576607082</v>
      </c>
      <c r="N93" s="157">
        <f t="shared" si="29"/>
        <v>-201.02399607058254</v>
      </c>
      <c r="O93" s="105">
        <f t="shared" si="30"/>
        <v>0</v>
      </c>
      <c r="P93" s="105">
        <f t="shared" si="31"/>
        <v>0</v>
      </c>
      <c r="Q93" s="105">
        <v>0</v>
      </c>
      <c r="R93" s="157">
        <f t="shared" si="32"/>
        <v>-201.02399607058254</v>
      </c>
    </row>
    <row r="94" spans="1:18" x14ac:dyDescent="0.2">
      <c r="A94" s="87">
        <v>3</v>
      </c>
      <c r="B94" s="151">
        <f t="shared" si="4"/>
        <v>45717</v>
      </c>
      <c r="C94" s="167">
        <f t="shared" si="33"/>
        <v>45750</v>
      </c>
      <c r="D94" s="167">
        <f t="shared" si="33"/>
        <v>45771</v>
      </c>
      <c r="E94" s="158" t="s">
        <v>8</v>
      </c>
      <c r="F94" s="87">
        <v>9</v>
      </c>
      <c r="G94" s="153">
        <v>64</v>
      </c>
      <c r="H94" s="154">
        <f t="shared" si="27"/>
        <v>7.9978862239830235</v>
      </c>
      <c r="I94" s="154">
        <f t="shared" si="22"/>
        <v>6.1587610034538516</v>
      </c>
      <c r="J94" s="105">
        <f t="shared" si="2"/>
        <v>394.1607042210465</v>
      </c>
      <c r="K94" s="155">
        <f t="shared" ref="K94:K133" si="34">+$G94*H94</f>
        <v>511.8647183349135</v>
      </c>
      <c r="L94" s="156">
        <f>+J94-K94</f>
        <v>-117.704014113867</v>
      </c>
      <c r="M94" s="105">
        <f t="shared" si="28"/>
        <v>-8.4286893029691488</v>
      </c>
      <c r="N94" s="157">
        <f t="shared" si="29"/>
        <v>-126.13270341683615</v>
      </c>
      <c r="O94" s="105">
        <f t="shared" si="30"/>
        <v>0</v>
      </c>
      <c r="P94" s="105">
        <f t="shared" si="31"/>
        <v>0</v>
      </c>
      <c r="Q94" s="105">
        <v>0</v>
      </c>
      <c r="R94" s="157">
        <f t="shared" si="32"/>
        <v>-126.13270341683615</v>
      </c>
    </row>
    <row r="95" spans="1:18" x14ac:dyDescent="0.2">
      <c r="A95" s="87">
        <v>4</v>
      </c>
      <c r="B95" s="151">
        <f t="shared" si="4"/>
        <v>45748</v>
      </c>
      <c r="C95" s="167">
        <f t="shared" si="33"/>
        <v>45782</v>
      </c>
      <c r="D95" s="167">
        <f t="shared" si="33"/>
        <v>45803</v>
      </c>
      <c r="E95" s="158" t="s">
        <v>8</v>
      </c>
      <c r="F95" s="87">
        <v>9</v>
      </c>
      <c r="G95" s="153">
        <v>71</v>
      </c>
      <c r="H95" s="154">
        <f t="shared" si="27"/>
        <v>7.9978862239830235</v>
      </c>
      <c r="I95" s="154">
        <f t="shared" si="22"/>
        <v>6.1587610034538516</v>
      </c>
      <c r="J95" s="105">
        <f t="shared" si="2"/>
        <v>437.27203124522345</v>
      </c>
      <c r="K95" s="155">
        <f t="shared" si="34"/>
        <v>567.84992190279468</v>
      </c>
      <c r="L95" s="156">
        <f t="shared" ref="L95:L105" si="35">+J95-K95</f>
        <v>-130.57789065757123</v>
      </c>
      <c r="M95" s="105">
        <f t="shared" si="28"/>
        <v>-9.3505771954814012</v>
      </c>
      <c r="N95" s="157">
        <f t="shared" si="29"/>
        <v>-139.92846785305264</v>
      </c>
      <c r="O95" s="105">
        <f t="shared" si="30"/>
        <v>0</v>
      </c>
      <c r="P95" s="105">
        <f t="shared" si="31"/>
        <v>0</v>
      </c>
      <c r="Q95" s="105">
        <v>0</v>
      </c>
      <c r="R95" s="157">
        <f t="shared" si="32"/>
        <v>-139.92846785305264</v>
      </c>
    </row>
    <row r="96" spans="1:18" x14ac:dyDescent="0.2">
      <c r="A96" s="87">
        <v>5</v>
      </c>
      <c r="B96" s="151">
        <f t="shared" si="4"/>
        <v>45778</v>
      </c>
      <c r="C96" s="167">
        <f t="shared" ref="C96:D116" si="36">+C84</f>
        <v>45812</v>
      </c>
      <c r="D96" s="167">
        <f t="shared" si="36"/>
        <v>45832</v>
      </c>
      <c r="E96" s="1" t="s">
        <v>8</v>
      </c>
      <c r="F96" s="87">
        <v>9</v>
      </c>
      <c r="G96" s="153">
        <v>108</v>
      </c>
      <c r="H96" s="154">
        <f t="shared" si="27"/>
        <v>7.9978862239830235</v>
      </c>
      <c r="I96" s="154">
        <f t="shared" si="22"/>
        <v>6.1587610034538516</v>
      </c>
      <c r="J96" s="105">
        <f t="shared" si="2"/>
        <v>665.146188373016</v>
      </c>
      <c r="K96" s="155">
        <f t="shared" si="34"/>
        <v>863.77171219016657</v>
      </c>
      <c r="L96" s="156">
        <f t="shared" si="35"/>
        <v>-198.62552381715057</v>
      </c>
      <c r="M96" s="105">
        <f t="shared" si="28"/>
        <v>-14.22341319876044</v>
      </c>
      <c r="N96" s="157">
        <f t="shared" si="29"/>
        <v>-212.84893701591102</v>
      </c>
      <c r="O96" s="105">
        <f t="shared" si="30"/>
        <v>0</v>
      </c>
      <c r="P96" s="105">
        <f t="shared" si="31"/>
        <v>0</v>
      </c>
      <c r="Q96" s="105">
        <v>0</v>
      </c>
      <c r="R96" s="157">
        <f t="shared" si="32"/>
        <v>-212.84893701591102</v>
      </c>
    </row>
    <row r="97" spans="1:18" x14ac:dyDescent="0.2">
      <c r="A97" s="87">
        <v>6</v>
      </c>
      <c r="B97" s="151">
        <f t="shared" si="4"/>
        <v>45809</v>
      </c>
      <c r="C97" s="167">
        <f t="shared" si="36"/>
        <v>45841</v>
      </c>
      <c r="D97" s="167">
        <f t="shared" si="36"/>
        <v>45862</v>
      </c>
      <c r="E97" s="1" t="s">
        <v>8</v>
      </c>
      <c r="F97" s="87">
        <v>9</v>
      </c>
      <c r="G97" s="153">
        <v>130</v>
      </c>
      <c r="H97" s="154">
        <f t="shared" si="27"/>
        <v>7.9978862239830235</v>
      </c>
      <c r="I97" s="154">
        <f t="shared" si="22"/>
        <v>6.1587610034538516</v>
      </c>
      <c r="J97" s="105">
        <f t="shared" si="2"/>
        <v>800.63893044900067</v>
      </c>
      <c r="K97" s="155">
        <f t="shared" si="34"/>
        <v>1039.7252091177932</v>
      </c>
      <c r="L97" s="156">
        <f t="shared" si="35"/>
        <v>-239.08627866879249</v>
      </c>
      <c r="M97" s="105">
        <f t="shared" si="28"/>
        <v>-17.120775146656083</v>
      </c>
      <c r="N97" s="157">
        <f t="shared" si="29"/>
        <v>-256.20705381544855</v>
      </c>
      <c r="O97" s="105">
        <f t="shared" si="30"/>
        <v>0</v>
      </c>
      <c r="P97" s="105">
        <f t="shared" si="31"/>
        <v>0</v>
      </c>
      <c r="Q97" s="105">
        <v>0</v>
      </c>
      <c r="R97" s="157">
        <f t="shared" si="32"/>
        <v>-256.20705381544855</v>
      </c>
    </row>
    <row r="98" spans="1:18" x14ac:dyDescent="0.2">
      <c r="A98" s="87">
        <v>7</v>
      </c>
      <c r="B98" s="151">
        <f t="shared" si="4"/>
        <v>45839</v>
      </c>
      <c r="C98" s="167">
        <f t="shared" si="36"/>
        <v>45874</v>
      </c>
      <c r="D98" s="167">
        <f t="shared" si="36"/>
        <v>45894</v>
      </c>
      <c r="E98" s="1" t="s">
        <v>8</v>
      </c>
      <c r="F98" s="87">
        <v>9</v>
      </c>
      <c r="G98" s="153">
        <v>151</v>
      </c>
      <c r="H98" s="154">
        <f t="shared" si="27"/>
        <v>7.9978862239830235</v>
      </c>
      <c r="I98" s="154">
        <f t="shared" si="22"/>
        <v>6.1587610034538516</v>
      </c>
      <c r="J98" s="105">
        <f t="shared" si="2"/>
        <v>929.97291152153161</v>
      </c>
      <c r="K98" s="155">
        <f t="shared" si="34"/>
        <v>1207.6808198214364</v>
      </c>
      <c r="L98" s="156">
        <f t="shared" si="35"/>
        <v>-277.70790829990483</v>
      </c>
      <c r="M98" s="105">
        <f t="shared" si="28"/>
        <v>-19.886438824192837</v>
      </c>
      <c r="N98" s="157">
        <f t="shared" si="29"/>
        <v>-297.59434712409768</v>
      </c>
      <c r="O98" s="105">
        <f t="shared" si="30"/>
        <v>0</v>
      </c>
      <c r="P98" s="105">
        <f t="shared" si="31"/>
        <v>0</v>
      </c>
      <c r="Q98" s="105">
        <v>0</v>
      </c>
      <c r="R98" s="157">
        <f t="shared" si="32"/>
        <v>-297.59434712409768</v>
      </c>
    </row>
    <row r="99" spans="1:18" x14ac:dyDescent="0.2">
      <c r="A99" s="87">
        <v>8</v>
      </c>
      <c r="B99" s="151">
        <f t="shared" si="4"/>
        <v>45870</v>
      </c>
      <c r="C99" s="167">
        <f t="shared" si="36"/>
        <v>45904</v>
      </c>
      <c r="D99" s="167">
        <f t="shared" si="36"/>
        <v>45924</v>
      </c>
      <c r="E99" s="1" t="s">
        <v>8</v>
      </c>
      <c r="F99" s="87">
        <v>9</v>
      </c>
      <c r="G99" s="153">
        <v>145</v>
      </c>
      <c r="H99" s="154">
        <f t="shared" si="27"/>
        <v>7.9978862239830235</v>
      </c>
      <c r="I99" s="154">
        <f t="shared" si="22"/>
        <v>6.1587610034538516</v>
      </c>
      <c r="J99" s="105">
        <f t="shared" si="2"/>
        <v>893.0203455008085</v>
      </c>
      <c r="K99" s="155">
        <f t="shared" si="34"/>
        <v>1159.6935024775385</v>
      </c>
      <c r="L99" s="156">
        <f t="shared" si="35"/>
        <v>-266.67315697672996</v>
      </c>
      <c r="M99" s="105">
        <f t="shared" si="28"/>
        <v>-19.096249202039477</v>
      </c>
      <c r="N99" s="157">
        <f t="shared" si="29"/>
        <v>-285.76940617876943</v>
      </c>
      <c r="O99" s="105">
        <f t="shared" si="30"/>
        <v>0</v>
      </c>
      <c r="P99" s="105">
        <f t="shared" si="31"/>
        <v>0</v>
      </c>
      <c r="Q99" s="105">
        <v>0</v>
      </c>
      <c r="R99" s="157">
        <f t="shared" si="32"/>
        <v>-285.76940617876943</v>
      </c>
    </row>
    <row r="100" spans="1:18" x14ac:dyDescent="0.2">
      <c r="A100" s="87">
        <v>9</v>
      </c>
      <c r="B100" s="151">
        <f t="shared" si="4"/>
        <v>45901</v>
      </c>
      <c r="C100" s="167">
        <f t="shared" si="36"/>
        <v>45933</v>
      </c>
      <c r="D100" s="167">
        <f t="shared" si="36"/>
        <v>45954</v>
      </c>
      <c r="E100" s="1" t="s">
        <v>8</v>
      </c>
      <c r="F100" s="87">
        <v>9</v>
      </c>
      <c r="G100" s="153">
        <v>126</v>
      </c>
      <c r="H100" s="154">
        <f t="shared" si="27"/>
        <v>7.9978862239830235</v>
      </c>
      <c r="I100" s="154">
        <f t="shared" si="22"/>
        <v>6.1587610034538516</v>
      </c>
      <c r="J100" s="105">
        <f t="shared" si="2"/>
        <v>776.00388643518534</v>
      </c>
      <c r="K100" s="155">
        <f t="shared" si="34"/>
        <v>1007.733664221861</v>
      </c>
      <c r="L100" s="156">
        <f t="shared" si="35"/>
        <v>-231.72977778667564</v>
      </c>
      <c r="M100" s="105">
        <f t="shared" si="28"/>
        <v>-16.593982065220516</v>
      </c>
      <c r="N100" s="157">
        <f t="shared" si="29"/>
        <v>-248.32375985189617</v>
      </c>
      <c r="O100" s="105">
        <f t="shared" si="30"/>
        <v>0</v>
      </c>
      <c r="P100" s="105">
        <f t="shared" si="31"/>
        <v>0</v>
      </c>
      <c r="Q100" s="105">
        <v>0</v>
      </c>
      <c r="R100" s="157">
        <f t="shared" si="32"/>
        <v>-248.32375985189617</v>
      </c>
    </row>
    <row r="101" spans="1:18" x14ac:dyDescent="0.2">
      <c r="A101" s="87">
        <v>10</v>
      </c>
      <c r="B101" s="151">
        <f t="shared" si="4"/>
        <v>45931</v>
      </c>
      <c r="C101" s="167">
        <f t="shared" si="36"/>
        <v>45966</v>
      </c>
      <c r="D101" s="167">
        <f t="shared" si="36"/>
        <v>45985</v>
      </c>
      <c r="E101" s="1" t="s">
        <v>8</v>
      </c>
      <c r="F101" s="87">
        <v>9</v>
      </c>
      <c r="G101" s="153">
        <v>106</v>
      </c>
      <c r="H101" s="154">
        <f t="shared" si="27"/>
        <v>7.9978862239830235</v>
      </c>
      <c r="I101" s="154">
        <f t="shared" si="22"/>
        <v>6.1587610034538516</v>
      </c>
      <c r="J101" s="105">
        <f t="shared" si="2"/>
        <v>652.82866636610822</v>
      </c>
      <c r="K101" s="155">
        <f t="shared" si="34"/>
        <v>847.77593974220053</v>
      </c>
      <c r="L101" s="156">
        <f t="shared" si="35"/>
        <v>-194.94727337609231</v>
      </c>
      <c r="M101" s="105">
        <f t="shared" si="28"/>
        <v>-13.960016658042655</v>
      </c>
      <c r="N101" s="157">
        <f t="shared" si="29"/>
        <v>-208.90729003413497</v>
      </c>
      <c r="O101" s="105">
        <f t="shared" si="30"/>
        <v>0</v>
      </c>
      <c r="P101" s="105">
        <f t="shared" si="31"/>
        <v>0</v>
      </c>
      <c r="Q101" s="105">
        <v>0</v>
      </c>
      <c r="R101" s="157">
        <f t="shared" si="32"/>
        <v>-208.90729003413497</v>
      </c>
    </row>
    <row r="102" spans="1:18" x14ac:dyDescent="0.2">
      <c r="A102" s="87">
        <v>11</v>
      </c>
      <c r="B102" s="151">
        <f t="shared" si="4"/>
        <v>45962</v>
      </c>
      <c r="C102" s="167">
        <f t="shared" si="36"/>
        <v>45994</v>
      </c>
      <c r="D102" s="167">
        <f t="shared" si="36"/>
        <v>46015</v>
      </c>
      <c r="E102" s="1" t="s">
        <v>8</v>
      </c>
      <c r="F102" s="87">
        <v>9</v>
      </c>
      <c r="G102" s="153">
        <v>67</v>
      </c>
      <c r="H102" s="154">
        <f t="shared" si="27"/>
        <v>7.9978862239830235</v>
      </c>
      <c r="I102" s="154">
        <f t="shared" si="22"/>
        <v>6.1587610034538516</v>
      </c>
      <c r="J102" s="105">
        <f t="shared" si="2"/>
        <v>412.63698723140806</v>
      </c>
      <c r="K102" s="155">
        <f t="shared" si="34"/>
        <v>535.85837700686261</v>
      </c>
      <c r="L102" s="156">
        <f t="shared" si="35"/>
        <v>-123.22138977545455</v>
      </c>
      <c r="M102" s="105">
        <f t="shared" si="28"/>
        <v>-8.8237841140458286</v>
      </c>
      <c r="N102" s="157">
        <f t="shared" si="29"/>
        <v>-132.04517388950038</v>
      </c>
      <c r="O102" s="105">
        <f t="shared" si="30"/>
        <v>0</v>
      </c>
      <c r="P102" s="105">
        <f t="shared" si="31"/>
        <v>0</v>
      </c>
      <c r="Q102" s="105">
        <v>0</v>
      </c>
      <c r="R102" s="157">
        <f t="shared" si="32"/>
        <v>-132.04517388950038</v>
      </c>
    </row>
    <row r="103" spans="1:18" s="171" customFormat="1" x14ac:dyDescent="0.2">
      <c r="A103" s="87">
        <v>12</v>
      </c>
      <c r="B103" s="169">
        <f t="shared" si="4"/>
        <v>45992</v>
      </c>
      <c r="C103" s="167">
        <f t="shared" si="36"/>
        <v>46028</v>
      </c>
      <c r="D103" s="167">
        <f t="shared" si="36"/>
        <v>46048</v>
      </c>
      <c r="E103" s="170" t="s">
        <v>8</v>
      </c>
      <c r="F103" s="128">
        <v>9</v>
      </c>
      <c r="G103" s="191">
        <v>82</v>
      </c>
      <c r="H103" s="159">
        <f t="shared" si="27"/>
        <v>7.9978862239830235</v>
      </c>
      <c r="I103" s="159">
        <f t="shared" si="22"/>
        <v>6.1587610034538516</v>
      </c>
      <c r="J103" s="160">
        <f t="shared" si="2"/>
        <v>505.01840228321583</v>
      </c>
      <c r="K103" s="161">
        <f t="shared" si="34"/>
        <v>655.82667036660791</v>
      </c>
      <c r="L103" s="162">
        <f t="shared" si="35"/>
        <v>-150.80826808339208</v>
      </c>
      <c r="M103" s="160">
        <f t="shared" si="28"/>
        <v>-10.799258169429223</v>
      </c>
      <c r="N103" s="192">
        <f t="shared" si="29"/>
        <v>-161.60752625282129</v>
      </c>
      <c r="O103" s="160">
        <f t="shared" si="30"/>
        <v>0</v>
      </c>
      <c r="P103" s="160">
        <f t="shared" si="31"/>
        <v>0</v>
      </c>
      <c r="Q103" s="160">
        <v>0</v>
      </c>
      <c r="R103" s="192">
        <f t="shared" si="32"/>
        <v>-161.60752625282129</v>
      </c>
    </row>
    <row r="104" spans="1:18" x14ac:dyDescent="0.2">
      <c r="A104" s="87">
        <v>1</v>
      </c>
      <c r="B104" s="151">
        <f t="shared" si="4"/>
        <v>45658</v>
      </c>
      <c r="C104" s="164">
        <f t="shared" si="36"/>
        <v>45693</v>
      </c>
      <c r="D104" s="164">
        <f t="shared" si="36"/>
        <v>45712</v>
      </c>
      <c r="E104" s="152" t="s">
        <v>19</v>
      </c>
      <c r="F104" s="87">
        <v>9</v>
      </c>
      <c r="G104" s="153">
        <v>70</v>
      </c>
      <c r="H104" s="154">
        <f t="shared" si="27"/>
        <v>7.9978862239830235</v>
      </c>
      <c r="I104" s="154">
        <f t="shared" si="22"/>
        <v>6.1587610034538516</v>
      </c>
      <c r="J104" s="105">
        <f t="shared" si="2"/>
        <v>431.11327024176961</v>
      </c>
      <c r="K104" s="155">
        <f t="shared" si="34"/>
        <v>559.8520356788116</v>
      </c>
      <c r="L104" s="156">
        <f t="shared" si="35"/>
        <v>-128.73876543704199</v>
      </c>
      <c r="M104" s="105">
        <f t="shared" si="28"/>
        <v>-9.2188789251225067</v>
      </c>
      <c r="N104" s="157">
        <f t="shared" si="29"/>
        <v>-137.9576443621645</v>
      </c>
      <c r="O104" s="105">
        <f t="shared" si="30"/>
        <v>0</v>
      </c>
      <c r="P104" s="105">
        <f t="shared" si="31"/>
        <v>0</v>
      </c>
      <c r="Q104" s="105">
        <v>0</v>
      </c>
      <c r="R104" s="157">
        <f t="shared" si="32"/>
        <v>-137.9576443621645</v>
      </c>
    </row>
    <row r="105" spans="1:18" x14ac:dyDescent="0.2">
      <c r="A105" s="87">
        <v>2</v>
      </c>
      <c r="B105" s="151">
        <f t="shared" si="4"/>
        <v>45689</v>
      </c>
      <c r="C105" s="167">
        <f t="shared" si="36"/>
        <v>45721</v>
      </c>
      <c r="D105" s="167">
        <f t="shared" si="36"/>
        <v>45740</v>
      </c>
      <c r="E105" s="158" t="s">
        <v>19</v>
      </c>
      <c r="F105" s="87">
        <v>9</v>
      </c>
      <c r="G105" s="153">
        <v>50</v>
      </c>
      <c r="H105" s="154">
        <f t="shared" si="27"/>
        <v>7.9978862239830235</v>
      </c>
      <c r="I105" s="154">
        <f t="shared" si="22"/>
        <v>6.1587610034538516</v>
      </c>
      <c r="J105" s="105">
        <f t="shared" si="2"/>
        <v>307.93805017269256</v>
      </c>
      <c r="K105" s="155">
        <f t="shared" si="34"/>
        <v>399.89431119915116</v>
      </c>
      <c r="L105" s="156">
        <f t="shared" si="35"/>
        <v>-91.956261026458606</v>
      </c>
      <c r="M105" s="105">
        <f t="shared" si="28"/>
        <v>-6.5849135179446483</v>
      </c>
      <c r="N105" s="157">
        <f t="shared" si="29"/>
        <v>-98.541174544403248</v>
      </c>
      <c r="O105" s="105">
        <f t="shared" si="30"/>
        <v>0</v>
      </c>
      <c r="P105" s="105">
        <f t="shared" si="31"/>
        <v>0</v>
      </c>
      <c r="Q105" s="105">
        <v>0</v>
      </c>
      <c r="R105" s="157">
        <f t="shared" si="32"/>
        <v>-98.541174544403248</v>
      </c>
    </row>
    <row r="106" spans="1:18" x14ac:dyDescent="0.2">
      <c r="A106" s="87">
        <v>3</v>
      </c>
      <c r="B106" s="151">
        <f t="shared" si="4"/>
        <v>45717</v>
      </c>
      <c r="C106" s="167">
        <f t="shared" si="36"/>
        <v>45750</v>
      </c>
      <c r="D106" s="167">
        <f t="shared" si="36"/>
        <v>45771</v>
      </c>
      <c r="E106" s="158" t="s">
        <v>19</v>
      </c>
      <c r="F106" s="87">
        <v>9</v>
      </c>
      <c r="G106" s="153">
        <v>67</v>
      </c>
      <c r="H106" s="154">
        <f t="shared" si="27"/>
        <v>7.9978862239830235</v>
      </c>
      <c r="I106" s="154">
        <f t="shared" si="22"/>
        <v>6.1587610034538516</v>
      </c>
      <c r="J106" s="105">
        <f t="shared" si="2"/>
        <v>412.63698723140806</v>
      </c>
      <c r="K106" s="155">
        <f t="shared" si="34"/>
        <v>535.85837700686261</v>
      </c>
      <c r="L106" s="156">
        <f>+J106-K106</f>
        <v>-123.22138977545455</v>
      </c>
      <c r="M106" s="105">
        <f t="shared" si="28"/>
        <v>-8.8237841140458286</v>
      </c>
      <c r="N106" s="157">
        <f t="shared" si="29"/>
        <v>-132.04517388950038</v>
      </c>
      <c r="O106" s="105">
        <f t="shared" si="30"/>
        <v>0</v>
      </c>
      <c r="P106" s="105">
        <f t="shared" si="31"/>
        <v>0</v>
      </c>
      <c r="Q106" s="105">
        <v>0</v>
      </c>
      <c r="R106" s="157">
        <f t="shared" si="32"/>
        <v>-132.04517388950038</v>
      </c>
    </row>
    <row r="107" spans="1:18" x14ac:dyDescent="0.2">
      <c r="A107" s="87">
        <v>4</v>
      </c>
      <c r="B107" s="151">
        <f t="shared" si="4"/>
        <v>45748</v>
      </c>
      <c r="C107" s="167">
        <f t="shared" si="36"/>
        <v>45782</v>
      </c>
      <c r="D107" s="167">
        <f t="shared" si="36"/>
        <v>45803</v>
      </c>
      <c r="E107" s="1" t="s">
        <v>19</v>
      </c>
      <c r="F107" s="87">
        <v>9</v>
      </c>
      <c r="G107" s="153">
        <v>71</v>
      </c>
      <c r="H107" s="154">
        <f t="shared" si="27"/>
        <v>7.9978862239830235</v>
      </c>
      <c r="I107" s="154">
        <f t="shared" si="22"/>
        <v>6.1587610034538516</v>
      </c>
      <c r="J107" s="105">
        <f t="shared" si="2"/>
        <v>437.27203124522345</v>
      </c>
      <c r="K107" s="155">
        <f t="shared" si="34"/>
        <v>567.84992190279468</v>
      </c>
      <c r="L107" s="156">
        <f t="shared" ref="L107:L115" si="37">+J107-K107</f>
        <v>-130.57789065757123</v>
      </c>
      <c r="M107" s="105">
        <f t="shared" si="28"/>
        <v>-9.3505771954814012</v>
      </c>
      <c r="N107" s="157">
        <f t="shared" si="29"/>
        <v>-139.92846785305264</v>
      </c>
      <c r="O107" s="105">
        <f t="shared" si="30"/>
        <v>0</v>
      </c>
      <c r="P107" s="105">
        <f t="shared" si="31"/>
        <v>0</v>
      </c>
      <c r="Q107" s="105">
        <v>0</v>
      </c>
      <c r="R107" s="157">
        <f t="shared" si="32"/>
        <v>-139.92846785305264</v>
      </c>
    </row>
    <row r="108" spans="1:18" x14ac:dyDescent="0.2">
      <c r="A108" s="87">
        <v>5</v>
      </c>
      <c r="B108" s="151">
        <f t="shared" si="4"/>
        <v>45778</v>
      </c>
      <c r="C108" s="167">
        <f t="shared" si="36"/>
        <v>45812</v>
      </c>
      <c r="D108" s="167">
        <f t="shared" si="36"/>
        <v>45832</v>
      </c>
      <c r="E108" s="1" t="s">
        <v>19</v>
      </c>
      <c r="F108" s="87">
        <v>9</v>
      </c>
      <c r="G108" s="153">
        <v>64</v>
      </c>
      <c r="H108" s="154">
        <f t="shared" si="27"/>
        <v>7.9978862239830235</v>
      </c>
      <c r="I108" s="154">
        <f t="shared" ref="I108:I127" si="38">$J$3</f>
        <v>6.1587610034538516</v>
      </c>
      <c r="J108" s="105">
        <f t="shared" si="2"/>
        <v>394.1607042210465</v>
      </c>
      <c r="K108" s="155">
        <f t="shared" si="34"/>
        <v>511.8647183349135</v>
      </c>
      <c r="L108" s="156">
        <f t="shared" si="37"/>
        <v>-117.704014113867</v>
      </c>
      <c r="M108" s="105">
        <f t="shared" si="28"/>
        <v>-8.4286893029691488</v>
      </c>
      <c r="N108" s="157">
        <f t="shared" si="29"/>
        <v>-126.13270341683615</v>
      </c>
      <c r="O108" s="105">
        <f t="shared" si="30"/>
        <v>0</v>
      </c>
      <c r="P108" s="105">
        <f t="shared" si="31"/>
        <v>0</v>
      </c>
      <c r="Q108" s="105">
        <v>0</v>
      </c>
      <c r="R108" s="157">
        <f t="shared" si="32"/>
        <v>-126.13270341683615</v>
      </c>
    </row>
    <row r="109" spans="1:18" x14ac:dyDescent="0.2">
      <c r="A109" s="87">
        <v>6</v>
      </c>
      <c r="B109" s="151">
        <f t="shared" ref="B109:B148" si="39">DATE($R$1,A109,1)</f>
        <v>45809</v>
      </c>
      <c r="C109" s="167">
        <f t="shared" si="36"/>
        <v>45841</v>
      </c>
      <c r="D109" s="167">
        <f t="shared" si="36"/>
        <v>45862</v>
      </c>
      <c r="E109" s="1" t="s">
        <v>19</v>
      </c>
      <c r="F109" s="87">
        <v>9</v>
      </c>
      <c r="G109" s="153">
        <v>72</v>
      </c>
      <c r="H109" s="154">
        <f t="shared" si="27"/>
        <v>7.9978862239830235</v>
      </c>
      <c r="I109" s="154">
        <f t="shared" si="38"/>
        <v>6.1587610034538516</v>
      </c>
      <c r="J109" s="105">
        <f t="shared" ref="J109:J148" si="40">+$G109*I109</f>
        <v>443.43079224867734</v>
      </c>
      <c r="K109" s="155">
        <f t="shared" si="34"/>
        <v>575.84780812677764</v>
      </c>
      <c r="L109" s="156">
        <f t="shared" si="37"/>
        <v>-132.4170158781003</v>
      </c>
      <c r="M109" s="105">
        <f t="shared" si="28"/>
        <v>-9.4822754658402921</v>
      </c>
      <c r="N109" s="157">
        <f t="shared" si="29"/>
        <v>-141.8992913439406</v>
      </c>
      <c r="O109" s="105">
        <f t="shared" si="30"/>
        <v>0</v>
      </c>
      <c r="P109" s="105">
        <f t="shared" si="31"/>
        <v>0</v>
      </c>
      <c r="Q109" s="105">
        <v>0</v>
      </c>
      <c r="R109" s="157">
        <f t="shared" si="32"/>
        <v>-141.8992913439406</v>
      </c>
    </row>
    <row r="110" spans="1:18" x14ac:dyDescent="0.2">
      <c r="A110" s="87">
        <v>7</v>
      </c>
      <c r="B110" s="151">
        <f t="shared" si="39"/>
        <v>45839</v>
      </c>
      <c r="C110" s="167">
        <f t="shared" si="36"/>
        <v>45874</v>
      </c>
      <c r="D110" s="167">
        <f t="shared" si="36"/>
        <v>45894</v>
      </c>
      <c r="E110" s="1" t="s">
        <v>19</v>
      </c>
      <c r="F110" s="87">
        <v>9</v>
      </c>
      <c r="G110" s="153">
        <v>11</v>
      </c>
      <c r="H110" s="154">
        <f t="shared" si="27"/>
        <v>7.9978862239830235</v>
      </c>
      <c r="I110" s="154">
        <f t="shared" si="38"/>
        <v>6.1587610034538516</v>
      </c>
      <c r="J110" s="105">
        <f t="shared" si="40"/>
        <v>67.746371037992361</v>
      </c>
      <c r="K110" s="155">
        <f t="shared" si="34"/>
        <v>87.976748463813266</v>
      </c>
      <c r="L110" s="156">
        <f t="shared" si="37"/>
        <v>-20.230377425820905</v>
      </c>
      <c r="M110" s="105">
        <f t="shared" si="28"/>
        <v>-1.4486809739478226</v>
      </c>
      <c r="N110" s="157">
        <f t="shared" si="29"/>
        <v>-21.679058399768728</v>
      </c>
      <c r="O110" s="105">
        <f t="shared" si="30"/>
        <v>0</v>
      </c>
      <c r="P110" s="105">
        <f t="shared" si="31"/>
        <v>0</v>
      </c>
      <c r="Q110" s="105">
        <v>0</v>
      </c>
      <c r="R110" s="157">
        <f t="shared" si="32"/>
        <v>-21.679058399768728</v>
      </c>
    </row>
    <row r="111" spans="1:18" x14ac:dyDescent="0.2">
      <c r="A111" s="87">
        <v>8</v>
      </c>
      <c r="B111" s="151">
        <f t="shared" si="39"/>
        <v>45870</v>
      </c>
      <c r="C111" s="167">
        <f t="shared" si="36"/>
        <v>45904</v>
      </c>
      <c r="D111" s="167">
        <f t="shared" si="36"/>
        <v>45924</v>
      </c>
      <c r="E111" s="1" t="s">
        <v>19</v>
      </c>
      <c r="F111" s="87">
        <v>9</v>
      </c>
      <c r="G111" s="153">
        <v>62</v>
      </c>
      <c r="H111" s="154">
        <f t="shared" si="27"/>
        <v>7.9978862239830235</v>
      </c>
      <c r="I111" s="154">
        <f t="shared" si="38"/>
        <v>6.1587610034538516</v>
      </c>
      <c r="J111" s="105">
        <f t="shared" si="40"/>
        <v>381.84318221413878</v>
      </c>
      <c r="K111" s="155">
        <f t="shared" si="34"/>
        <v>495.86894588694747</v>
      </c>
      <c r="L111" s="156">
        <f t="shared" si="37"/>
        <v>-114.02576367280869</v>
      </c>
      <c r="M111" s="105">
        <f t="shared" si="28"/>
        <v>-8.1652927622513634</v>
      </c>
      <c r="N111" s="157">
        <f t="shared" si="29"/>
        <v>-122.19105643506006</v>
      </c>
      <c r="O111" s="105">
        <f t="shared" si="30"/>
        <v>0</v>
      </c>
      <c r="P111" s="105">
        <f t="shared" si="31"/>
        <v>0</v>
      </c>
      <c r="Q111" s="105">
        <v>0</v>
      </c>
      <c r="R111" s="157">
        <f t="shared" si="32"/>
        <v>-122.19105643506006</v>
      </c>
    </row>
    <row r="112" spans="1:18" x14ac:dyDescent="0.2">
      <c r="A112" s="87">
        <v>9</v>
      </c>
      <c r="B112" s="151">
        <f t="shared" si="39"/>
        <v>45901</v>
      </c>
      <c r="C112" s="167">
        <f t="shared" si="36"/>
        <v>45933</v>
      </c>
      <c r="D112" s="167">
        <f t="shared" si="36"/>
        <v>45954</v>
      </c>
      <c r="E112" s="1" t="s">
        <v>19</v>
      </c>
      <c r="F112" s="87">
        <v>9</v>
      </c>
      <c r="G112" s="153">
        <v>72</v>
      </c>
      <c r="H112" s="154">
        <f t="shared" si="27"/>
        <v>7.9978862239830235</v>
      </c>
      <c r="I112" s="154">
        <f t="shared" si="38"/>
        <v>6.1587610034538516</v>
      </c>
      <c r="J112" s="105">
        <f t="shared" si="40"/>
        <v>443.43079224867734</v>
      </c>
      <c r="K112" s="155">
        <f t="shared" si="34"/>
        <v>575.84780812677764</v>
      </c>
      <c r="L112" s="156">
        <f t="shared" si="37"/>
        <v>-132.4170158781003</v>
      </c>
      <c r="M112" s="105">
        <f t="shared" si="28"/>
        <v>-9.4822754658402921</v>
      </c>
      <c r="N112" s="157">
        <f t="shared" si="29"/>
        <v>-141.8992913439406</v>
      </c>
      <c r="O112" s="105">
        <f t="shared" si="30"/>
        <v>0</v>
      </c>
      <c r="P112" s="105">
        <f t="shared" si="31"/>
        <v>0</v>
      </c>
      <c r="Q112" s="105">
        <v>0</v>
      </c>
      <c r="R112" s="157">
        <f t="shared" si="32"/>
        <v>-141.8992913439406</v>
      </c>
    </row>
    <row r="113" spans="1:18" x14ac:dyDescent="0.2">
      <c r="A113" s="87">
        <v>10</v>
      </c>
      <c r="B113" s="151">
        <f t="shared" si="39"/>
        <v>45931</v>
      </c>
      <c r="C113" s="167">
        <f t="shared" si="36"/>
        <v>45966</v>
      </c>
      <c r="D113" s="167">
        <f t="shared" si="36"/>
        <v>45985</v>
      </c>
      <c r="E113" s="1" t="s">
        <v>19</v>
      </c>
      <c r="F113" s="87">
        <v>9</v>
      </c>
      <c r="G113" s="153">
        <v>72</v>
      </c>
      <c r="H113" s="154">
        <f t="shared" si="27"/>
        <v>7.9978862239830235</v>
      </c>
      <c r="I113" s="154">
        <f t="shared" si="38"/>
        <v>6.1587610034538516</v>
      </c>
      <c r="J113" s="105">
        <f t="shared" si="40"/>
        <v>443.43079224867734</v>
      </c>
      <c r="K113" s="155">
        <f t="shared" si="34"/>
        <v>575.84780812677764</v>
      </c>
      <c r="L113" s="156">
        <f t="shared" si="37"/>
        <v>-132.4170158781003</v>
      </c>
      <c r="M113" s="105">
        <f t="shared" si="28"/>
        <v>-9.4822754658402921</v>
      </c>
      <c r="N113" s="157">
        <f t="shared" si="29"/>
        <v>-141.8992913439406</v>
      </c>
      <c r="O113" s="105">
        <f t="shared" si="30"/>
        <v>0</v>
      </c>
      <c r="P113" s="105">
        <f t="shared" si="31"/>
        <v>0</v>
      </c>
      <c r="Q113" s="105">
        <v>0</v>
      </c>
      <c r="R113" s="157">
        <f t="shared" si="32"/>
        <v>-141.8992913439406</v>
      </c>
    </row>
    <row r="114" spans="1:18" x14ac:dyDescent="0.2">
      <c r="A114" s="87">
        <v>11</v>
      </c>
      <c r="B114" s="151">
        <f t="shared" si="39"/>
        <v>45962</v>
      </c>
      <c r="C114" s="167">
        <f t="shared" si="36"/>
        <v>45994</v>
      </c>
      <c r="D114" s="167">
        <f t="shared" si="36"/>
        <v>46015</v>
      </c>
      <c r="E114" s="1" t="s">
        <v>19</v>
      </c>
      <c r="F114" s="87">
        <v>9</v>
      </c>
      <c r="G114" s="153">
        <v>67</v>
      </c>
      <c r="H114" s="154">
        <f t="shared" si="27"/>
        <v>7.9978862239830235</v>
      </c>
      <c r="I114" s="154">
        <f t="shared" si="38"/>
        <v>6.1587610034538516</v>
      </c>
      <c r="J114" s="105">
        <f t="shared" si="40"/>
        <v>412.63698723140806</v>
      </c>
      <c r="K114" s="155">
        <f t="shared" si="34"/>
        <v>535.85837700686261</v>
      </c>
      <c r="L114" s="156">
        <f t="shared" si="37"/>
        <v>-123.22138977545455</v>
      </c>
      <c r="M114" s="105">
        <f t="shared" si="28"/>
        <v>-8.8237841140458286</v>
      </c>
      <c r="N114" s="157">
        <f t="shared" si="29"/>
        <v>-132.04517388950038</v>
      </c>
      <c r="O114" s="105">
        <f t="shared" si="30"/>
        <v>0</v>
      </c>
      <c r="P114" s="105">
        <f t="shared" si="31"/>
        <v>0</v>
      </c>
      <c r="Q114" s="105">
        <v>0</v>
      </c>
      <c r="R114" s="157">
        <f t="shared" si="32"/>
        <v>-132.04517388950038</v>
      </c>
    </row>
    <row r="115" spans="1:18" s="171" customFormat="1" x14ac:dyDescent="0.2">
      <c r="A115" s="87">
        <v>12</v>
      </c>
      <c r="B115" s="169">
        <f t="shared" si="39"/>
        <v>45992</v>
      </c>
      <c r="C115" s="172">
        <f t="shared" si="36"/>
        <v>46028</v>
      </c>
      <c r="D115" s="172">
        <f t="shared" si="36"/>
        <v>46048</v>
      </c>
      <c r="E115" s="170" t="s">
        <v>19</v>
      </c>
      <c r="F115" s="128">
        <v>9</v>
      </c>
      <c r="G115" s="191">
        <v>68</v>
      </c>
      <c r="H115" s="159">
        <f t="shared" si="27"/>
        <v>7.9978862239830235</v>
      </c>
      <c r="I115" s="159">
        <f t="shared" si="38"/>
        <v>6.1587610034538516</v>
      </c>
      <c r="J115" s="160">
        <f t="shared" si="40"/>
        <v>418.79574823486189</v>
      </c>
      <c r="K115" s="161">
        <f t="shared" si="34"/>
        <v>543.85626323084557</v>
      </c>
      <c r="L115" s="162">
        <f t="shared" si="37"/>
        <v>-125.06051499598368</v>
      </c>
      <c r="M115" s="160">
        <f t="shared" si="28"/>
        <v>-8.9554823844047213</v>
      </c>
      <c r="N115" s="192">
        <f t="shared" si="29"/>
        <v>-134.0159973803884</v>
      </c>
      <c r="O115" s="160">
        <f t="shared" si="30"/>
        <v>0</v>
      </c>
      <c r="P115" s="160">
        <f t="shared" si="31"/>
        <v>0</v>
      </c>
      <c r="Q115" s="160">
        <v>0</v>
      </c>
      <c r="R115" s="192">
        <f t="shared" si="32"/>
        <v>-134.0159973803884</v>
      </c>
    </row>
    <row r="116" spans="1:18" x14ac:dyDescent="0.2">
      <c r="A116" s="87">
        <v>1</v>
      </c>
      <c r="B116" s="151">
        <f t="shared" si="39"/>
        <v>45658</v>
      </c>
      <c r="C116" s="167">
        <f t="shared" si="36"/>
        <v>45693</v>
      </c>
      <c r="D116" s="167">
        <f t="shared" si="36"/>
        <v>45712</v>
      </c>
      <c r="E116" s="152" t="s">
        <v>13</v>
      </c>
      <c r="F116" s="87">
        <v>9</v>
      </c>
      <c r="G116" s="153">
        <v>1315</v>
      </c>
      <c r="H116" s="154">
        <f t="shared" si="27"/>
        <v>7.9978862239830235</v>
      </c>
      <c r="I116" s="154">
        <f t="shared" si="38"/>
        <v>6.1587610034538516</v>
      </c>
      <c r="J116" s="105">
        <f t="shared" si="40"/>
        <v>8098.7707195418152</v>
      </c>
      <c r="K116" s="155">
        <f t="shared" si="34"/>
        <v>10517.220384537675</v>
      </c>
      <c r="L116" s="156">
        <f>+J116-K116</f>
        <v>-2418.4496649958601</v>
      </c>
      <c r="M116" s="105">
        <f t="shared" si="28"/>
        <v>-173.18322552194425</v>
      </c>
      <c r="N116" s="157">
        <f t="shared" si="29"/>
        <v>-2591.6328905178043</v>
      </c>
      <c r="O116" s="105">
        <f t="shared" si="30"/>
        <v>0</v>
      </c>
      <c r="P116" s="105">
        <f t="shared" si="31"/>
        <v>0</v>
      </c>
      <c r="Q116" s="105">
        <v>0</v>
      </c>
      <c r="R116" s="157">
        <f t="shared" si="32"/>
        <v>-2591.6328905178043</v>
      </c>
    </row>
    <row r="117" spans="1:18" x14ac:dyDescent="0.2">
      <c r="A117" s="87">
        <v>2</v>
      </c>
      <c r="B117" s="151">
        <f t="shared" si="39"/>
        <v>45689</v>
      </c>
      <c r="C117" s="167">
        <f t="shared" ref="C117:D139" si="41">+C105</f>
        <v>45721</v>
      </c>
      <c r="D117" s="167">
        <f t="shared" si="41"/>
        <v>45740</v>
      </c>
      <c r="E117" s="158" t="s">
        <v>13</v>
      </c>
      <c r="F117" s="87">
        <v>9</v>
      </c>
      <c r="G117" s="153">
        <v>1377</v>
      </c>
      <c r="H117" s="154">
        <f t="shared" si="27"/>
        <v>7.9978862239830235</v>
      </c>
      <c r="I117" s="154">
        <f t="shared" si="38"/>
        <v>6.1587610034538516</v>
      </c>
      <c r="J117" s="105">
        <f t="shared" si="40"/>
        <v>8480.6139017559544</v>
      </c>
      <c r="K117" s="155">
        <f t="shared" si="34"/>
        <v>11013.089330424624</v>
      </c>
      <c r="L117" s="156">
        <f>+J117-K117</f>
        <v>-2532.4754286686693</v>
      </c>
      <c r="M117" s="105">
        <f t="shared" si="28"/>
        <v>-181.34851828419559</v>
      </c>
      <c r="N117" s="157">
        <f t="shared" si="29"/>
        <v>-2713.8239469528648</v>
      </c>
      <c r="O117" s="105">
        <f t="shared" si="30"/>
        <v>0</v>
      </c>
      <c r="P117" s="105">
        <f t="shared" si="31"/>
        <v>0</v>
      </c>
      <c r="Q117" s="105">
        <v>0</v>
      </c>
      <c r="R117" s="157">
        <f t="shared" si="32"/>
        <v>-2713.8239469528648</v>
      </c>
    </row>
    <row r="118" spans="1:18" x14ac:dyDescent="0.2">
      <c r="A118" s="87">
        <v>3</v>
      </c>
      <c r="B118" s="151">
        <f t="shared" si="39"/>
        <v>45717</v>
      </c>
      <c r="C118" s="167">
        <f t="shared" si="41"/>
        <v>45750</v>
      </c>
      <c r="D118" s="167">
        <f t="shared" si="41"/>
        <v>45771</v>
      </c>
      <c r="E118" s="158" t="s">
        <v>13</v>
      </c>
      <c r="F118" s="87">
        <v>9</v>
      </c>
      <c r="G118" s="153">
        <v>791</v>
      </c>
      <c r="H118" s="154">
        <f t="shared" si="27"/>
        <v>7.9978862239830235</v>
      </c>
      <c r="I118" s="154">
        <f t="shared" si="38"/>
        <v>6.1587610034538516</v>
      </c>
      <c r="J118" s="105">
        <f t="shared" si="40"/>
        <v>4871.5799537319963</v>
      </c>
      <c r="K118" s="155">
        <f t="shared" si="34"/>
        <v>6326.3280031705717</v>
      </c>
      <c r="L118" s="156">
        <f>+J118-K118</f>
        <v>-1454.7480494385754</v>
      </c>
      <c r="M118" s="105">
        <f t="shared" si="28"/>
        <v>-104.17333185388433</v>
      </c>
      <c r="N118" s="157">
        <f t="shared" si="29"/>
        <v>-1558.9213812924597</v>
      </c>
      <c r="O118" s="105">
        <f t="shared" si="30"/>
        <v>0</v>
      </c>
      <c r="P118" s="105">
        <f t="shared" si="31"/>
        <v>0</v>
      </c>
      <c r="Q118" s="105">
        <v>0</v>
      </c>
      <c r="R118" s="157">
        <f t="shared" si="32"/>
        <v>-1558.9213812924597</v>
      </c>
    </row>
    <row r="119" spans="1:18" x14ac:dyDescent="0.2">
      <c r="A119" s="87">
        <v>4</v>
      </c>
      <c r="B119" s="151">
        <f t="shared" si="39"/>
        <v>45748</v>
      </c>
      <c r="C119" s="167">
        <f t="shared" si="41"/>
        <v>45782</v>
      </c>
      <c r="D119" s="167">
        <f t="shared" si="41"/>
        <v>45803</v>
      </c>
      <c r="E119" s="1" t="s">
        <v>13</v>
      </c>
      <c r="F119" s="87">
        <v>9</v>
      </c>
      <c r="G119" s="153">
        <v>603</v>
      </c>
      <c r="H119" s="154">
        <f t="shared" si="27"/>
        <v>7.9978862239830235</v>
      </c>
      <c r="I119" s="154">
        <f t="shared" si="38"/>
        <v>6.1587610034538516</v>
      </c>
      <c r="J119" s="105">
        <f t="shared" si="40"/>
        <v>3713.7328850826725</v>
      </c>
      <c r="K119" s="155">
        <f t="shared" si="34"/>
        <v>4822.7253930617635</v>
      </c>
      <c r="L119" s="156">
        <f t="shared" ref="L119:L127" si="42">+J119-K119</f>
        <v>-1108.992507979091</v>
      </c>
      <c r="M119" s="105">
        <f t="shared" si="28"/>
        <v>-79.414057026412451</v>
      </c>
      <c r="N119" s="157">
        <f t="shared" si="29"/>
        <v>-1188.4065650055034</v>
      </c>
      <c r="O119" s="105">
        <f t="shared" si="30"/>
        <v>0</v>
      </c>
      <c r="P119" s="105">
        <f t="shared" si="31"/>
        <v>0</v>
      </c>
      <c r="Q119" s="105">
        <v>0</v>
      </c>
      <c r="R119" s="157">
        <f t="shared" si="32"/>
        <v>-1188.4065650055034</v>
      </c>
    </row>
    <row r="120" spans="1:18" x14ac:dyDescent="0.2">
      <c r="A120" s="87">
        <v>5</v>
      </c>
      <c r="B120" s="151">
        <f t="shared" si="39"/>
        <v>45778</v>
      </c>
      <c r="C120" s="167">
        <f t="shared" si="41"/>
        <v>45812</v>
      </c>
      <c r="D120" s="167">
        <f t="shared" si="41"/>
        <v>45832</v>
      </c>
      <c r="E120" s="1" t="s">
        <v>13</v>
      </c>
      <c r="F120" s="87">
        <v>9</v>
      </c>
      <c r="G120" s="153">
        <v>738</v>
      </c>
      <c r="H120" s="154">
        <f t="shared" si="27"/>
        <v>7.9978862239830235</v>
      </c>
      <c r="I120" s="154">
        <f t="shared" si="38"/>
        <v>6.1587610034538516</v>
      </c>
      <c r="J120" s="105">
        <f t="shared" si="40"/>
        <v>4545.1656205489426</v>
      </c>
      <c r="K120" s="155">
        <f t="shared" si="34"/>
        <v>5902.440033299471</v>
      </c>
      <c r="L120" s="156">
        <f t="shared" si="42"/>
        <v>-1357.2744127505284</v>
      </c>
      <c r="M120" s="105">
        <f t="shared" si="28"/>
        <v>-97.193323524863004</v>
      </c>
      <c r="N120" s="157">
        <f t="shared" si="29"/>
        <v>-1454.4677362753914</v>
      </c>
      <c r="O120" s="105">
        <f t="shared" si="30"/>
        <v>0</v>
      </c>
      <c r="P120" s="105">
        <f t="shared" si="31"/>
        <v>0</v>
      </c>
      <c r="Q120" s="105">
        <v>0</v>
      </c>
      <c r="R120" s="157">
        <f t="shared" si="32"/>
        <v>-1454.4677362753914</v>
      </c>
    </row>
    <row r="121" spans="1:18" x14ac:dyDescent="0.2">
      <c r="A121" s="87">
        <v>6</v>
      </c>
      <c r="B121" s="151">
        <f t="shared" si="39"/>
        <v>45809</v>
      </c>
      <c r="C121" s="167">
        <f t="shared" si="41"/>
        <v>45841</v>
      </c>
      <c r="D121" s="167">
        <f t="shared" si="41"/>
        <v>45862</v>
      </c>
      <c r="E121" s="1" t="s">
        <v>13</v>
      </c>
      <c r="F121" s="87">
        <v>9</v>
      </c>
      <c r="G121" s="153">
        <v>849</v>
      </c>
      <c r="H121" s="154">
        <f t="shared" si="27"/>
        <v>7.9978862239830235</v>
      </c>
      <c r="I121" s="154">
        <f t="shared" si="38"/>
        <v>6.1587610034538516</v>
      </c>
      <c r="J121" s="105">
        <f t="shared" si="40"/>
        <v>5228.7880919323197</v>
      </c>
      <c r="K121" s="155">
        <f t="shared" si="34"/>
        <v>6790.2054041615866</v>
      </c>
      <c r="L121" s="156">
        <f t="shared" si="42"/>
        <v>-1561.4173122292668</v>
      </c>
      <c r="M121" s="105">
        <f t="shared" si="28"/>
        <v>-111.81183153470012</v>
      </c>
      <c r="N121" s="157">
        <f t="shared" si="29"/>
        <v>-1673.2291437639669</v>
      </c>
      <c r="O121" s="105">
        <f t="shared" si="30"/>
        <v>0</v>
      </c>
      <c r="P121" s="105">
        <f t="shared" si="31"/>
        <v>0</v>
      </c>
      <c r="Q121" s="105">
        <v>0</v>
      </c>
      <c r="R121" s="157">
        <f t="shared" si="32"/>
        <v>-1673.2291437639669</v>
      </c>
    </row>
    <row r="122" spans="1:18" x14ac:dyDescent="0.2">
      <c r="A122" s="87">
        <v>7</v>
      </c>
      <c r="B122" s="151">
        <f t="shared" si="39"/>
        <v>45839</v>
      </c>
      <c r="C122" s="167">
        <f t="shared" si="41"/>
        <v>45874</v>
      </c>
      <c r="D122" s="167">
        <f t="shared" si="41"/>
        <v>45894</v>
      </c>
      <c r="E122" s="1" t="s">
        <v>13</v>
      </c>
      <c r="F122" s="87">
        <v>9</v>
      </c>
      <c r="G122" s="153">
        <v>978</v>
      </c>
      <c r="H122" s="154">
        <f t="shared" si="27"/>
        <v>7.9978862239830235</v>
      </c>
      <c r="I122" s="154">
        <f t="shared" si="38"/>
        <v>6.1587610034538516</v>
      </c>
      <c r="J122" s="105">
        <f t="shared" si="40"/>
        <v>6023.268261377867</v>
      </c>
      <c r="K122" s="155">
        <f t="shared" si="34"/>
        <v>7821.9327270553968</v>
      </c>
      <c r="L122" s="156">
        <f t="shared" si="42"/>
        <v>-1798.6644656775297</v>
      </c>
      <c r="M122" s="105">
        <f t="shared" si="28"/>
        <v>-128.80090841099732</v>
      </c>
      <c r="N122" s="157">
        <f t="shared" si="29"/>
        <v>-1927.4653740885271</v>
      </c>
      <c r="O122" s="105">
        <f t="shared" si="30"/>
        <v>0</v>
      </c>
      <c r="P122" s="105">
        <f t="shared" si="31"/>
        <v>0</v>
      </c>
      <c r="Q122" s="105">
        <v>0</v>
      </c>
      <c r="R122" s="157">
        <f t="shared" si="32"/>
        <v>-1927.4653740885271</v>
      </c>
    </row>
    <row r="123" spans="1:18" x14ac:dyDescent="0.2">
      <c r="A123" s="87">
        <v>8</v>
      </c>
      <c r="B123" s="151">
        <f t="shared" si="39"/>
        <v>45870</v>
      </c>
      <c r="C123" s="167">
        <f t="shared" si="41"/>
        <v>45904</v>
      </c>
      <c r="D123" s="167">
        <f t="shared" si="41"/>
        <v>45924</v>
      </c>
      <c r="E123" s="1" t="s">
        <v>13</v>
      </c>
      <c r="F123" s="87">
        <v>9</v>
      </c>
      <c r="G123" s="153">
        <v>1000</v>
      </c>
      <c r="H123" s="154">
        <f t="shared" si="27"/>
        <v>7.9978862239830235</v>
      </c>
      <c r="I123" s="154">
        <f t="shared" si="38"/>
        <v>6.1587610034538516</v>
      </c>
      <c r="J123" s="105">
        <f t="shared" si="40"/>
        <v>6158.761003453852</v>
      </c>
      <c r="K123" s="155">
        <f t="shared" si="34"/>
        <v>7997.8862239830232</v>
      </c>
      <c r="L123" s="156">
        <f t="shared" si="42"/>
        <v>-1839.1252205291712</v>
      </c>
      <c r="M123" s="105">
        <f t="shared" si="28"/>
        <v>-131.69827035889296</v>
      </c>
      <c r="N123" s="157">
        <f t="shared" si="29"/>
        <v>-1970.823490888064</v>
      </c>
      <c r="O123" s="105">
        <f t="shared" si="30"/>
        <v>0</v>
      </c>
      <c r="P123" s="105">
        <f t="shared" si="31"/>
        <v>0</v>
      </c>
      <c r="Q123" s="105">
        <v>0</v>
      </c>
      <c r="R123" s="157">
        <f t="shared" si="32"/>
        <v>-1970.823490888064</v>
      </c>
    </row>
    <row r="124" spans="1:18" x14ac:dyDescent="0.2">
      <c r="A124" s="87">
        <v>9</v>
      </c>
      <c r="B124" s="151">
        <f t="shared" si="39"/>
        <v>45901</v>
      </c>
      <c r="C124" s="167">
        <f t="shared" si="41"/>
        <v>45933</v>
      </c>
      <c r="D124" s="167">
        <f t="shared" si="41"/>
        <v>45954</v>
      </c>
      <c r="E124" s="1" t="s">
        <v>13</v>
      </c>
      <c r="F124" s="87">
        <v>9</v>
      </c>
      <c r="G124" s="153">
        <v>844</v>
      </c>
      <c r="H124" s="154">
        <f t="shared" si="27"/>
        <v>7.9978862239830235</v>
      </c>
      <c r="I124" s="154">
        <f t="shared" si="38"/>
        <v>6.1587610034538516</v>
      </c>
      <c r="J124" s="105">
        <f t="shared" si="40"/>
        <v>5197.9942869150509</v>
      </c>
      <c r="K124" s="155">
        <f t="shared" si="34"/>
        <v>6750.2159730416715</v>
      </c>
      <c r="L124" s="156">
        <f t="shared" si="42"/>
        <v>-1552.2216861266206</v>
      </c>
      <c r="M124" s="105">
        <f t="shared" si="28"/>
        <v>-111.15334018290567</v>
      </c>
      <c r="N124" s="157">
        <f t="shared" si="29"/>
        <v>-1663.3750263095262</v>
      </c>
      <c r="O124" s="105">
        <f t="shared" si="30"/>
        <v>0</v>
      </c>
      <c r="P124" s="105">
        <f t="shared" si="31"/>
        <v>0</v>
      </c>
      <c r="Q124" s="105">
        <v>0</v>
      </c>
      <c r="R124" s="157">
        <f t="shared" si="32"/>
        <v>-1663.3750263095262</v>
      </c>
    </row>
    <row r="125" spans="1:18" x14ac:dyDescent="0.2">
      <c r="A125" s="87">
        <v>10</v>
      </c>
      <c r="B125" s="151">
        <f t="shared" si="39"/>
        <v>45931</v>
      </c>
      <c r="C125" s="167">
        <f t="shared" si="41"/>
        <v>45966</v>
      </c>
      <c r="D125" s="167">
        <f t="shared" si="41"/>
        <v>45985</v>
      </c>
      <c r="E125" s="1" t="s">
        <v>13</v>
      </c>
      <c r="F125" s="87">
        <v>9</v>
      </c>
      <c r="G125" s="153">
        <v>760</v>
      </c>
      <c r="H125" s="154">
        <f t="shared" si="27"/>
        <v>7.9978862239830235</v>
      </c>
      <c r="I125" s="154">
        <f t="shared" si="38"/>
        <v>6.1587610034538516</v>
      </c>
      <c r="J125" s="105">
        <f t="shared" si="40"/>
        <v>4680.6583626249276</v>
      </c>
      <c r="K125" s="155">
        <f t="shared" si="34"/>
        <v>6078.3935302270975</v>
      </c>
      <c r="L125" s="156">
        <f t="shared" si="42"/>
        <v>-1397.7351676021699</v>
      </c>
      <c r="M125" s="105">
        <f t="shared" si="28"/>
        <v>-100.09068547275865</v>
      </c>
      <c r="N125" s="157">
        <f t="shared" si="29"/>
        <v>-1497.8258530749285</v>
      </c>
      <c r="O125" s="105">
        <f t="shared" si="30"/>
        <v>0</v>
      </c>
      <c r="P125" s="105">
        <f t="shared" si="31"/>
        <v>0</v>
      </c>
      <c r="Q125" s="105">
        <v>0</v>
      </c>
      <c r="R125" s="157">
        <f t="shared" si="32"/>
        <v>-1497.8258530749285</v>
      </c>
    </row>
    <row r="126" spans="1:18" x14ac:dyDescent="0.2">
      <c r="A126" s="87">
        <v>11</v>
      </c>
      <c r="B126" s="151">
        <f t="shared" si="39"/>
        <v>45962</v>
      </c>
      <c r="C126" s="167">
        <f t="shared" si="41"/>
        <v>45994</v>
      </c>
      <c r="D126" s="167">
        <f t="shared" si="41"/>
        <v>46015</v>
      </c>
      <c r="E126" s="1" t="s">
        <v>13</v>
      </c>
      <c r="F126" s="87">
        <v>9</v>
      </c>
      <c r="G126" s="153">
        <v>748</v>
      </c>
      <c r="H126" s="154">
        <f t="shared" si="27"/>
        <v>7.9978862239830235</v>
      </c>
      <c r="I126" s="154">
        <f t="shared" si="38"/>
        <v>6.1587610034538516</v>
      </c>
      <c r="J126" s="105">
        <f t="shared" si="40"/>
        <v>4606.7532305834811</v>
      </c>
      <c r="K126" s="155">
        <f t="shared" si="34"/>
        <v>5982.418895539302</v>
      </c>
      <c r="L126" s="156">
        <f t="shared" si="42"/>
        <v>-1375.6656649558208</v>
      </c>
      <c r="M126" s="105">
        <f t="shared" si="28"/>
        <v>-98.510306228451938</v>
      </c>
      <c r="N126" s="157">
        <f t="shared" si="29"/>
        <v>-1474.1759711842728</v>
      </c>
      <c r="O126" s="105">
        <f t="shared" si="30"/>
        <v>0</v>
      </c>
      <c r="P126" s="105">
        <f t="shared" si="31"/>
        <v>0</v>
      </c>
      <c r="Q126" s="105">
        <v>0</v>
      </c>
      <c r="R126" s="157">
        <f t="shared" si="32"/>
        <v>-1474.1759711842728</v>
      </c>
    </row>
    <row r="127" spans="1:18" s="171" customFormat="1" x14ac:dyDescent="0.2">
      <c r="A127" s="87">
        <v>12</v>
      </c>
      <c r="B127" s="169">
        <f t="shared" si="39"/>
        <v>45992</v>
      </c>
      <c r="C127" s="172">
        <f t="shared" si="41"/>
        <v>46028</v>
      </c>
      <c r="D127" s="172">
        <f t="shared" si="41"/>
        <v>46048</v>
      </c>
      <c r="E127" s="170" t="s">
        <v>13</v>
      </c>
      <c r="F127" s="128">
        <v>9</v>
      </c>
      <c r="G127" s="191">
        <v>1070</v>
      </c>
      <c r="H127" s="159">
        <f t="shared" si="27"/>
        <v>7.9978862239830235</v>
      </c>
      <c r="I127" s="159">
        <f t="shared" si="38"/>
        <v>6.1587610034538516</v>
      </c>
      <c r="J127" s="160">
        <f t="shared" si="40"/>
        <v>6589.874273695621</v>
      </c>
      <c r="K127" s="161">
        <f t="shared" si="34"/>
        <v>8557.7382596618354</v>
      </c>
      <c r="L127" s="162">
        <f t="shared" si="42"/>
        <v>-1967.8639859662144</v>
      </c>
      <c r="M127" s="160">
        <f t="shared" si="28"/>
        <v>-140.91714928401547</v>
      </c>
      <c r="N127" s="192">
        <f t="shared" si="29"/>
        <v>-2108.7811352502299</v>
      </c>
      <c r="O127" s="160">
        <f t="shared" si="30"/>
        <v>0</v>
      </c>
      <c r="P127" s="160">
        <f t="shared" si="31"/>
        <v>0</v>
      </c>
      <c r="Q127" s="160">
        <v>0</v>
      </c>
      <c r="R127" s="192">
        <f t="shared" si="32"/>
        <v>-2108.7811352502299</v>
      </c>
    </row>
    <row r="128" spans="1:18" x14ac:dyDescent="0.2">
      <c r="A128" s="87">
        <v>1</v>
      </c>
      <c r="B128" s="151">
        <f t="shared" si="39"/>
        <v>45658</v>
      </c>
      <c r="C128" s="167">
        <f t="shared" si="41"/>
        <v>45693</v>
      </c>
      <c r="D128" s="167">
        <f t="shared" si="41"/>
        <v>45712</v>
      </c>
      <c r="E128" s="152" t="s">
        <v>15</v>
      </c>
      <c r="F128" s="87">
        <v>9</v>
      </c>
      <c r="G128" s="153">
        <v>7</v>
      </c>
      <c r="H128" s="154">
        <f t="shared" si="27"/>
        <v>7.9978862239830235</v>
      </c>
      <c r="I128" s="154">
        <f t="shared" ref="I128:I147" si="43">$J$3</f>
        <v>6.1587610034538516</v>
      </c>
      <c r="J128" s="105">
        <f t="shared" si="40"/>
        <v>43.111327024176958</v>
      </c>
      <c r="K128" s="155">
        <f t="shared" si="34"/>
        <v>55.985203567881165</v>
      </c>
      <c r="L128" s="156">
        <f>+J128-K128</f>
        <v>-12.873876543704206</v>
      </c>
      <c r="M128" s="105">
        <f t="shared" si="28"/>
        <v>-0.92188789251225067</v>
      </c>
      <c r="N128" s="157">
        <f t="shared" si="29"/>
        <v>-13.795764436216457</v>
      </c>
      <c r="O128" s="105">
        <f t="shared" si="30"/>
        <v>0</v>
      </c>
      <c r="P128" s="105">
        <f t="shared" si="31"/>
        <v>0</v>
      </c>
      <c r="Q128" s="105">
        <v>0</v>
      </c>
      <c r="R128" s="157">
        <f t="shared" si="32"/>
        <v>-13.795764436216457</v>
      </c>
    </row>
    <row r="129" spans="1:18" x14ac:dyDescent="0.2">
      <c r="A129" s="87">
        <v>2</v>
      </c>
      <c r="B129" s="151">
        <f t="shared" si="39"/>
        <v>45689</v>
      </c>
      <c r="C129" s="167">
        <f t="shared" si="41"/>
        <v>45721</v>
      </c>
      <c r="D129" s="167">
        <f t="shared" si="41"/>
        <v>45740</v>
      </c>
      <c r="E129" s="158" t="s">
        <v>15</v>
      </c>
      <c r="F129" s="87">
        <v>9</v>
      </c>
      <c r="G129" s="153">
        <v>8</v>
      </c>
      <c r="H129" s="154">
        <f t="shared" si="27"/>
        <v>7.9978862239830235</v>
      </c>
      <c r="I129" s="154">
        <f t="shared" si="43"/>
        <v>6.1587610034538516</v>
      </c>
      <c r="J129" s="105">
        <f t="shared" si="40"/>
        <v>49.270088027630813</v>
      </c>
      <c r="K129" s="155">
        <f t="shared" si="34"/>
        <v>63.983089791864188</v>
      </c>
      <c r="L129" s="156">
        <f>+J129-K129</f>
        <v>-14.713001764233375</v>
      </c>
      <c r="M129" s="105">
        <f t="shared" si="28"/>
        <v>-1.0535861628711436</v>
      </c>
      <c r="N129" s="157">
        <f t="shared" si="29"/>
        <v>-15.766587927104519</v>
      </c>
      <c r="O129" s="105">
        <f t="shared" si="30"/>
        <v>0</v>
      </c>
      <c r="P129" s="105">
        <f t="shared" si="31"/>
        <v>0</v>
      </c>
      <c r="Q129" s="105">
        <v>0</v>
      </c>
      <c r="R129" s="157">
        <f t="shared" si="32"/>
        <v>-15.766587927104519</v>
      </c>
    </row>
    <row r="130" spans="1:18" x14ac:dyDescent="0.2">
      <c r="A130" s="87">
        <v>3</v>
      </c>
      <c r="B130" s="151">
        <f t="shared" si="39"/>
        <v>45717</v>
      </c>
      <c r="C130" s="167">
        <f t="shared" si="41"/>
        <v>45750</v>
      </c>
      <c r="D130" s="167">
        <f t="shared" si="41"/>
        <v>45771</v>
      </c>
      <c r="E130" s="158" t="s">
        <v>15</v>
      </c>
      <c r="F130" s="87">
        <v>9</v>
      </c>
      <c r="G130" s="153">
        <v>7</v>
      </c>
      <c r="H130" s="154">
        <f t="shared" si="27"/>
        <v>7.9978862239830235</v>
      </c>
      <c r="I130" s="154">
        <f t="shared" si="43"/>
        <v>6.1587610034538516</v>
      </c>
      <c r="J130" s="105">
        <f t="shared" si="40"/>
        <v>43.111327024176958</v>
      </c>
      <c r="K130" s="155">
        <f t="shared" si="34"/>
        <v>55.985203567881165</v>
      </c>
      <c r="L130" s="156">
        <f>+J130-K130</f>
        <v>-12.873876543704206</v>
      </c>
      <c r="M130" s="105">
        <f t="shared" si="28"/>
        <v>-0.92188789251225067</v>
      </c>
      <c r="N130" s="157">
        <f t="shared" si="29"/>
        <v>-13.795764436216457</v>
      </c>
      <c r="O130" s="105">
        <f t="shared" si="30"/>
        <v>0</v>
      </c>
      <c r="P130" s="105">
        <f t="shared" si="31"/>
        <v>0</v>
      </c>
      <c r="Q130" s="105">
        <v>0</v>
      </c>
      <c r="R130" s="157">
        <f t="shared" si="32"/>
        <v>-13.795764436216457</v>
      </c>
    </row>
    <row r="131" spans="1:18" x14ac:dyDescent="0.2">
      <c r="A131" s="87">
        <v>4</v>
      </c>
      <c r="B131" s="151">
        <f t="shared" si="39"/>
        <v>45748</v>
      </c>
      <c r="C131" s="167">
        <f t="shared" si="41"/>
        <v>45782</v>
      </c>
      <c r="D131" s="167">
        <f t="shared" si="41"/>
        <v>45803</v>
      </c>
      <c r="E131" s="158" t="s">
        <v>15</v>
      </c>
      <c r="F131" s="87">
        <v>9</v>
      </c>
      <c r="G131" s="153">
        <v>3</v>
      </c>
      <c r="H131" s="154">
        <f t="shared" si="27"/>
        <v>7.9978862239830235</v>
      </c>
      <c r="I131" s="154">
        <f t="shared" si="43"/>
        <v>6.1587610034538516</v>
      </c>
      <c r="J131" s="105">
        <f t="shared" si="40"/>
        <v>18.476283010361556</v>
      </c>
      <c r="K131" s="155">
        <f t="shared" si="34"/>
        <v>23.993658671949071</v>
      </c>
      <c r="L131" s="156">
        <f t="shared" ref="L131:L141" si="44">+J131-K131</f>
        <v>-5.5173756615875149</v>
      </c>
      <c r="M131" s="105">
        <f t="shared" si="28"/>
        <v>-0.39509481107667893</v>
      </c>
      <c r="N131" s="157">
        <f t="shared" si="29"/>
        <v>-5.9124704726641939</v>
      </c>
      <c r="O131" s="105">
        <f t="shared" si="30"/>
        <v>0</v>
      </c>
      <c r="P131" s="105">
        <f t="shared" si="31"/>
        <v>0</v>
      </c>
      <c r="Q131" s="105">
        <v>0</v>
      </c>
      <c r="R131" s="157">
        <f t="shared" si="32"/>
        <v>-5.9124704726641939</v>
      </c>
    </row>
    <row r="132" spans="1:18" x14ac:dyDescent="0.2">
      <c r="A132" s="87">
        <v>5</v>
      </c>
      <c r="B132" s="151">
        <f t="shared" si="39"/>
        <v>45778</v>
      </c>
      <c r="C132" s="167">
        <f t="shared" si="41"/>
        <v>45812</v>
      </c>
      <c r="D132" s="167">
        <f t="shared" si="41"/>
        <v>45832</v>
      </c>
      <c r="E132" s="1" t="s">
        <v>15</v>
      </c>
      <c r="F132" s="87">
        <v>9</v>
      </c>
      <c r="G132" s="153">
        <v>5</v>
      </c>
      <c r="H132" s="154">
        <f t="shared" si="27"/>
        <v>7.9978862239830235</v>
      </c>
      <c r="I132" s="154">
        <f t="shared" si="43"/>
        <v>6.1587610034538516</v>
      </c>
      <c r="J132" s="105">
        <f t="shared" si="40"/>
        <v>30.793805017269257</v>
      </c>
      <c r="K132" s="155">
        <f t="shared" si="34"/>
        <v>39.989431119915118</v>
      </c>
      <c r="L132" s="156">
        <f t="shared" si="44"/>
        <v>-9.1956261026458606</v>
      </c>
      <c r="M132" s="105">
        <f t="shared" si="28"/>
        <v>-0.65849135179446472</v>
      </c>
      <c r="N132" s="157">
        <f t="shared" si="29"/>
        <v>-9.8541174544403258</v>
      </c>
      <c r="O132" s="105">
        <f t="shared" si="30"/>
        <v>0</v>
      </c>
      <c r="P132" s="105">
        <f t="shared" si="31"/>
        <v>0</v>
      </c>
      <c r="Q132" s="105">
        <v>0</v>
      </c>
      <c r="R132" s="157">
        <f t="shared" si="32"/>
        <v>-9.8541174544403258</v>
      </c>
    </row>
    <row r="133" spans="1:18" x14ac:dyDescent="0.2">
      <c r="A133" s="87">
        <v>6</v>
      </c>
      <c r="B133" s="151">
        <f t="shared" si="39"/>
        <v>45809</v>
      </c>
      <c r="C133" s="167">
        <f t="shared" si="41"/>
        <v>45841</v>
      </c>
      <c r="D133" s="167">
        <f t="shared" si="41"/>
        <v>45862</v>
      </c>
      <c r="E133" s="1" t="s">
        <v>15</v>
      </c>
      <c r="F133" s="87">
        <v>9</v>
      </c>
      <c r="G133" s="153">
        <v>10</v>
      </c>
      <c r="H133" s="154">
        <f t="shared" si="27"/>
        <v>7.9978862239830235</v>
      </c>
      <c r="I133" s="154">
        <f t="shared" si="43"/>
        <v>6.1587610034538516</v>
      </c>
      <c r="J133" s="105">
        <f t="shared" si="40"/>
        <v>61.587610034538514</v>
      </c>
      <c r="K133" s="155">
        <f t="shared" si="34"/>
        <v>79.978862239830235</v>
      </c>
      <c r="L133" s="156">
        <f t="shared" si="44"/>
        <v>-18.391252205291721</v>
      </c>
      <c r="M133" s="105">
        <f t="shared" si="28"/>
        <v>-1.3169827035889294</v>
      </c>
      <c r="N133" s="157">
        <f t="shared" si="29"/>
        <v>-19.708234908880652</v>
      </c>
      <c r="O133" s="105">
        <f t="shared" si="30"/>
        <v>0</v>
      </c>
      <c r="P133" s="105">
        <f t="shared" si="31"/>
        <v>0</v>
      </c>
      <c r="Q133" s="105">
        <v>0</v>
      </c>
      <c r="R133" s="157">
        <f t="shared" si="32"/>
        <v>-19.708234908880652</v>
      </c>
    </row>
    <row r="134" spans="1:18" x14ac:dyDescent="0.2">
      <c r="A134" s="87">
        <v>7</v>
      </c>
      <c r="B134" s="151">
        <f t="shared" si="39"/>
        <v>45839</v>
      </c>
      <c r="C134" s="167">
        <f t="shared" si="41"/>
        <v>45874</v>
      </c>
      <c r="D134" s="167">
        <f t="shared" si="41"/>
        <v>45894</v>
      </c>
      <c r="E134" s="1" t="s">
        <v>15</v>
      </c>
      <c r="F134" s="87">
        <v>9</v>
      </c>
      <c r="G134" s="153">
        <v>17</v>
      </c>
      <c r="H134" s="154">
        <f t="shared" si="27"/>
        <v>7.9978862239830235</v>
      </c>
      <c r="I134" s="154">
        <f t="shared" si="43"/>
        <v>6.1587610034538516</v>
      </c>
      <c r="J134" s="105">
        <f t="shared" si="40"/>
        <v>104.69893705871547</v>
      </c>
      <c r="K134" s="155">
        <f t="shared" ref="K134:K197" si="45">+$G134*H134</f>
        <v>135.96406580771139</v>
      </c>
      <c r="L134" s="156">
        <f t="shared" si="44"/>
        <v>-31.26512874899592</v>
      </c>
      <c r="M134" s="105">
        <f t="shared" si="28"/>
        <v>-2.2388705961011803</v>
      </c>
      <c r="N134" s="157">
        <f t="shared" si="29"/>
        <v>-33.5039993450971</v>
      </c>
      <c r="O134" s="105">
        <f t="shared" si="30"/>
        <v>0</v>
      </c>
      <c r="P134" s="105">
        <f t="shared" si="31"/>
        <v>0</v>
      </c>
      <c r="Q134" s="105">
        <v>0</v>
      </c>
      <c r="R134" s="157">
        <f t="shared" si="32"/>
        <v>-33.5039993450971</v>
      </c>
    </row>
    <row r="135" spans="1:18" x14ac:dyDescent="0.2">
      <c r="A135" s="87">
        <v>8</v>
      </c>
      <c r="B135" s="151">
        <f t="shared" si="39"/>
        <v>45870</v>
      </c>
      <c r="C135" s="167">
        <f t="shared" si="41"/>
        <v>45904</v>
      </c>
      <c r="D135" s="167">
        <f t="shared" si="41"/>
        <v>45924</v>
      </c>
      <c r="E135" s="1" t="s">
        <v>15</v>
      </c>
      <c r="F135" s="87">
        <v>9</v>
      </c>
      <c r="G135" s="153">
        <v>16</v>
      </c>
      <c r="H135" s="154">
        <f t="shared" si="27"/>
        <v>7.9978862239830235</v>
      </c>
      <c r="I135" s="154">
        <f t="shared" si="43"/>
        <v>6.1587610034538516</v>
      </c>
      <c r="J135" s="105">
        <f t="shared" si="40"/>
        <v>98.540176055261625</v>
      </c>
      <c r="K135" s="155">
        <f t="shared" si="45"/>
        <v>127.96617958372838</v>
      </c>
      <c r="L135" s="156">
        <f t="shared" si="44"/>
        <v>-29.426003528466751</v>
      </c>
      <c r="M135" s="105">
        <f t="shared" si="28"/>
        <v>-2.1071723257422872</v>
      </c>
      <c r="N135" s="157">
        <f t="shared" si="29"/>
        <v>-31.533175854209038</v>
      </c>
      <c r="O135" s="105">
        <f t="shared" si="30"/>
        <v>0</v>
      </c>
      <c r="P135" s="105">
        <f t="shared" si="31"/>
        <v>0</v>
      </c>
      <c r="Q135" s="105">
        <v>0</v>
      </c>
      <c r="R135" s="157">
        <f t="shared" si="32"/>
        <v>-31.533175854209038</v>
      </c>
    </row>
    <row r="136" spans="1:18" x14ac:dyDescent="0.2">
      <c r="A136" s="87">
        <v>9</v>
      </c>
      <c r="B136" s="151">
        <f t="shared" si="39"/>
        <v>45901</v>
      </c>
      <c r="C136" s="167">
        <f t="shared" si="41"/>
        <v>45933</v>
      </c>
      <c r="D136" s="167">
        <f t="shared" si="41"/>
        <v>45954</v>
      </c>
      <c r="E136" s="1" t="s">
        <v>15</v>
      </c>
      <c r="F136" s="87">
        <v>9</v>
      </c>
      <c r="G136" s="153">
        <v>8</v>
      </c>
      <c r="H136" s="154">
        <f t="shared" si="27"/>
        <v>7.9978862239830235</v>
      </c>
      <c r="I136" s="154">
        <f t="shared" si="43"/>
        <v>6.1587610034538516</v>
      </c>
      <c r="J136" s="105">
        <f t="shared" si="40"/>
        <v>49.270088027630813</v>
      </c>
      <c r="K136" s="155">
        <f t="shared" si="45"/>
        <v>63.983089791864188</v>
      </c>
      <c r="L136" s="156">
        <f t="shared" si="44"/>
        <v>-14.713001764233375</v>
      </c>
      <c r="M136" s="105">
        <f t="shared" si="28"/>
        <v>-1.0535861628711436</v>
      </c>
      <c r="N136" s="157">
        <f t="shared" si="29"/>
        <v>-15.766587927104519</v>
      </c>
      <c r="O136" s="105">
        <f t="shared" si="30"/>
        <v>0</v>
      </c>
      <c r="P136" s="105">
        <f t="shared" si="31"/>
        <v>0</v>
      </c>
      <c r="Q136" s="105">
        <v>0</v>
      </c>
      <c r="R136" s="157">
        <f t="shared" si="32"/>
        <v>-15.766587927104519</v>
      </c>
    </row>
    <row r="137" spans="1:18" x14ac:dyDescent="0.2">
      <c r="A137" s="87">
        <v>10</v>
      </c>
      <c r="B137" s="151">
        <f t="shared" si="39"/>
        <v>45931</v>
      </c>
      <c r="C137" s="167">
        <f t="shared" si="41"/>
        <v>45966</v>
      </c>
      <c r="D137" s="167">
        <f t="shared" si="41"/>
        <v>45985</v>
      </c>
      <c r="E137" s="1" t="s">
        <v>15</v>
      </c>
      <c r="F137" s="87">
        <v>9</v>
      </c>
      <c r="G137" s="153">
        <v>8</v>
      </c>
      <c r="H137" s="154">
        <f t="shared" si="27"/>
        <v>7.9978862239830235</v>
      </c>
      <c r="I137" s="154">
        <f t="shared" si="43"/>
        <v>6.1587610034538516</v>
      </c>
      <c r="J137" s="105">
        <f t="shared" si="40"/>
        <v>49.270088027630813</v>
      </c>
      <c r="K137" s="155">
        <f t="shared" si="45"/>
        <v>63.983089791864188</v>
      </c>
      <c r="L137" s="156">
        <f t="shared" si="44"/>
        <v>-14.713001764233375</v>
      </c>
      <c r="M137" s="105">
        <f t="shared" si="28"/>
        <v>-1.0535861628711436</v>
      </c>
      <c r="N137" s="157">
        <f t="shared" si="29"/>
        <v>-15.766587927104519</v>
      </c>
      <c r="O137" s="105">
        <f t="shared" si="30"/>
        <v>0</v>
      </c>
      <c r="P137" s="105">
        <f t="shared" si="31"/>
        <v>0</v>
      </c>
      <c r="Q137" s="105">
        <v>0</v>
      </c>
      <c r="R137" s="157">
        <f t="shared" si="32"/>
        <v>-15.766587927104519</v>
      </c>
    </row>
    <row r="138" spans="1:18" x14ac:dyDescent="0.2">
      <c r="A138" s="87">
        <v>11</v>
      </c>
      <c r="B138" s="151">
        <f t="shared" si="39"/>
        <v>45962</v>
      </c>
      <c r="C138" s="167">
        <f t="shared" si="41"/>
        <v>45994</v>
      </c>
      <c r="D138" s="167">
        <f t="shared" si="41"/>
        <v>46015</v>
      </c>
      <c r="E138" s="1" t="s">
        <v>15</v>
      </c>
      <c r="F138" s="87">
        <v>9</v>
      </c>
      <c r="G138" s="153">
        <v>6</v>
      </c>
      <c r="H138" s="154">
        <f t="shared" si="27"/>
        <v>7.9978862239830235</v>
      </c>
      <c r="I138" s="154">
        <f t="shared" si="43"/>
        <v>6.1587610034538516</v>
      </c>
      <c r="J138" s="105">
        <f t="shared" si="40"/>
        <v>36.952566020723111</v>
      </c>
      <c r="K138" s="155">
        <f t="shared" si="45"/>
        <v>47.987317343898141</v>
      </c>
      <c r="L138" s="156">
        <f t="shared" si="44"/>
        <v>-11.03475132317503</v>
      </c>
      <c r="M138" s="105">
        <f t="shared" si="28"/>
        <v>-0.79018962215335786</v>
      </c>
      <c r="N138" s="157">
        <f t="shared" si="29"/>
        <v>-11.824940945328388</v>
      </c>
      <c r="O138" s="105">
        <f t="shared" si="30"/>
        <v>0</v>
      </c>
      <c r="P138" s="105">
        <f t="shared" si="31"/>
        <v>0</v>
      </c>
      <c r="Q138" s="105">
        <v>0</v>
      </c>
      <c r="R138" s="157">
        <f t="shared" si="32"/>
        <v>-11.824940945328388</v>
      </c>
    </row>
    <row r="139" spans="1:18" s="171" customFormat="1" x14ac:dyDescent="0.2">
      <c r="A139" s="87">
        <v>12</v>
      </c>
      <c r="B139" s="169">
        <f t="shared" si="39"/>
        <v>45992</v>
      </c>
      <c r="C139" s="167">
        <f t="shared" si="41"/>
        <v>46028</v>
      </c>
      <c r="D139" s="167">
        <f t="shared" si="41"/>
        <v>46048</v>
      </c>
      <c r="E139" s="170" t="s">
        <v>15</v>
      </c>
      <c r="F139" s="128">
        <v>9</v>
      </c>
      <c r="G139" s="191">
        <v>7</v>
      </c>
      <c r="H139" s="159">
        <f t="shared" si="27"/>
        <v>7.9978862239830235</v>
      </c>
      <c r="I139" s="159">
        <f t="shared" si="43"/>
        <v>6.1587610034538516</v>
      </c>
      <c r="J139" s="160">
        <f t="shared" si="40"/>
        <v>43.111327024176958</v>
      </c>
      <c r="K139" s="161">
        <f t="shared" si="45"/>
        <v>55.985203567881165</v>
      </c>
      <c r="L139" s="162">
        <f t="shared" si="44"/>
        <v>-12.873876543704206</v>
      </c>
      <c r="M139" s="160">
        <f t="shared" si="28"/>
        <v>-0.92188789251225067</v>
      </c>
      <c r="N139" s="192">
        <f t="shared" si="29"/>
        <v>-13.795764436216457</v>
      </c>
      <c r="O139" s="160">
        <f t="shared" si="30"/>
        <v>0</v>
      </c>
      <c r="P139" s="160">
        <f t="shared" si="31"/>
        <v>0</v>
      </c>
      <c r="Q139" s="160">
        <v>0</v>
      </c>
      <c r="R139" s="192">
        <f t="shared" si="32"/>
        <v>-13.795764436216457</v>
      </c>
    </row>
    <row r="140" spans="1:18" x14ac:dyDescent="0.2">
      <c r="A140" s="87">
        <v>1</v>
      </c>
      <c r="B140" s="151">
        <f t="shared" si="39"/>
        <v>45658</v>
      </c>
      <c r="C140" s="164">
        <f t="shared" ref="C140:D151" si="46">+C128</f>
        <v>45693</v>
      </c>
      <c r="D140" s="164">
        <f t="shared" si="46"/>
        <v>45712</v>
      </c>
      <c r="E140" s="174" t="s">
        <v>16</v>
      </c>
      <c r="F140" s="87">
        <v>9</v>
      </c>
      <c r="G140" s="153">
        <v>2</v>
      </c>
      <c r="H140" s="154">
        <f t="shared" si="27"/>
        <v>7.9978862239830235</v>
      </c>
      <c r="I140" s="154">
        <f t="shared" si="43"/>
        <v>6.1587610034538516</v>
      </c>
      <c r="J140" s="105">
        <f t="shared" si="40"/>
        <v>12.317522006907703</v>
      </c>
      <c r="K140" s="155">
        <f t="shared" si="45"/>
        <v>15.995772447966047</v>
      </c>
      <c r="L140" s="156">
        <f t="shared" si="44"/>
        <v>-3.6782504410583439</v>
      </c>
      <c r="M140" s="105">
        <f t="shared" si="28"/>
        <v>-0.2633965407177859</v>
      </c>
      <c r="N140" s="157">
        <f t="shared" si="29"/>
        <v>-3.9416469817761297</v>
      </c>
      <c r="O140" s="105">
        <f t="shared" si="30"/>
        <v>0</v>
      </c>
      <c r="P140" s="105">
        <f t="shared" si="31"/>
        <v>0</v>
      </c>
      <c r="Q140" s="105">
        <v>0</v>
      </c>
      <c r="R140" s="157">
        <f t="shared" si="32"/>
        <v>-3.9416469817761297</v>
      </c>
    </row>
    <row r="141" spans="1:18" x14ac:dyDescent="0.2">
      <c r="A141" s="87">
        <v>2</v>
      </c>
      <c r="B141" s="151">
        <f t="shared" si="39"/>
        <v>45689</v>
      </c>
      <c r="C141" s="167">
        <f t="shared" si="46"/>
        <v>45721</v>
      </c>
      <c r="D141" s="167">
        <f t="shared" si="46"/>
        <v>45740</v>
      </c>
      <c r="E141" s="1" t="s">
        <v>16</v>
      </c>
      <c r="F141" s="87">
        <v>9</v>
      </c>
      <c r="G141" s="153">
        <v>3</v>
      </c>
      <c r="H141" s="154">
        <f t="shared" si="27"/>
        <v>7.9978862239830235</v>
      </c>
      <c r="I141" s="154">
        <f t="shared" si="43"/>
        <v>6.1587610034538516</v>
      </c>
      <c r="J141" s="105">
        <f t="shared" si="40"/>
        <v>18.476283010361556</v>
      </c>
      <c r="K141" s="155">
        <f t="shared" si="45"/>
        <v>23.993658671949071</v>
      </c>
      <c r="L141" s="156">
        <f t="shared" si="44"/>
        <v>-5.5173756615875149</v>
      </c>
      <c r="M141" s="105">
        <f t="shared" si="28"/>
        <v>-0.39509481107667893</v>
      </c>
      <c r="N141" s="157">
        <f t="shared" si="29"/>
        <v>-5.9124704726641939</v>
      </c>
      <c r="O141" s="105">
        <f t="shared" si="30"/>
        <v>0</v>
      </c>
      <c r="P141" s="105">
        <f t="shared" si="31"/>
        <v>0</v>
      </c>
      <c r="Q141" s="105">
        <v>0</v>
      </c>
      <c r="R141" s="157">
        <f t="shared" si="32"/>
        <v>-5.9124704726641939</v>
      </c>
    </row>
    <row r="142" spans="1:18" x14ac:dyDescent="0.2">
      <c r="A142" s="87">
        <v>3</v>
      </c>
      <c r="B142" s="151">
        <f t="shared" si="39"/>
        <v>45717</v>
      </c>
      <c r="C142" s="167">
        <f t="shared" si="46"/>
        <v>45750</v>
      </c>
      <c r="D142" s="167">
        <f t="shared" si="46"/>
        <v>45771</v>
      </c>
      <c r="E142" s="1" t="s">
        <v>16</v>
      </c>
      <c r="F142" s="87">
        <v>9</v>
      </c>
      <c r="G142" s="153">
        <v>2</v>
      </c>
      <c r="H142" s="154">
        <f t="shared" si="27"/>
        <v>7.9978862239830235</v>
      </c>
      <c r="I142" s="154">
        <f t="shared" si="43"/>
        <v>6.1587610034538516</v>
      </c>
      <c r="J142" s="105">
        <f t="shared" si="40"/>
        <v>12.317522006907703</v>
      </c>
      <c r="K142" s="155">
        <f t="shared" si="45"/>
        <v>15.995772447966047</v>
      </c>
      <c r="L142" s="156">
        <f>+J142-K142</f>
        <v>-3.6782504410583439</v>
      </c>
      <c r="M142" s="105">
        <f t="shared" si="28"/>
        <v>-0.2633965407177859</v>
      </c>
      <c r="N142" s="157">
        <f t="shared" si="29"/>
        <v>-3.9416469817761297</v>
      </c>
      <c r="O142" s="105">
        <f t="shared" si="30"/>
        <v>0</v>
      </c>
      <c r="P142" s="105">
        <f t="shared" si="31"/>
        <v>0</v>
      </c>
      <c r="Q142" s="105">
        <v>0</v>
      </c>
      <c r="R142" s="157">
        <f t="shared" si="32"/>
        <v>-3.9416469817761297</v>
      </c>
    </row>
    <row r="143" spans="1:18" x14ac:dyDescent="0.2">
      <c r="A143" s="87">
        <v>4</v>
      </c>
      <c r="B143" s="151">
        <f t="shared" si="39"/>
        <v>45748</v>
      </c>
      <c r="C143" s="167">
        <f t="shared" si="46"/>
        <v>45782</v>
      </c>
      <c r="D143" s="167">
        <f t="shared" si="46"/>
        <v>45803</v>
      </c>
      <c r="E143" s="1" t="s">
        <v>16</v>
      </c>
      <c r="F143" s="87">
        <v>9</v>
      </c>
      <c r="G143" s="153">
        <v>1</v>
      </c>
      <c r="H143" s="154">
        <f t="shared" si="27"/>
        <v>7.9978862239830235</v>
      </c>
      <c r="I143" s="154">
        <f t="shared" si="43"/>
        <v>6.1587610034538516</v>
      </c>
      <c r="J143" s="105">
        <f t="shared" si="40"/>
        <v>6.1587610034538516</v>
      </c>
      <c r="K143" s="155">
        <f t="shared" si="45"/>
        <v>7.9978862239830235</v>
      </c>
      <c r="L143" s="156">
        <f t="shared" ref="L143:L153" si="47">+J143-K143</f>
        <v>-1.8391252205291719</v>
      </c>
      <c r="M143" s="105">
        <f t="shared" si="28"/>
        <v>-0.13169827035889295</v>
      </c>
      <c r="N143" s="157">
        <f t="shared" si="29"/>
        <v>-1.9708234908880649</v>
      </c>
      <c r="O143" s="105">
        <f t="shared" si="30"/>
        <v>0</v>
      </c>
      <c r="P143" s="105">
        <f t="shared" si="31"/>
        <v>0</v>
      </c>
      <c r="Q143" s="105">
        <v>0</v>
      </c>
      <c r="R143" s="157">
        <f t="shared" si="32"/>
        <v>-1.9708234908880649</v>
      </c>
    </row>
    <row r="144" spans="1:18" x14ac:dyDescent="0.2">
      <c r="A144" s="87">
        <v>5</v>
      </c>
      <c r="B144" s="151">
        <f t="shared" si="39"/>
        <v>45778</v>
      </c>
      <c r="C144" s="167">
        <f t="shared" si="46"/>
        <v>45812</v>
      </c>
      <c r="D144" s="167">
        <f t="shared" si="46"/>
        <v>45832</v>
      </c>
      <c r="E144" s="1" t="s">
        <v>16</v>
      </c>
      <c r="F144" s="87">
        <v>9</v>
      </c>
      <c r="G144" s="153">
        <v>2</v>
      </c>
      <c r="H144" s="154">
        <f t="shared" si="27"/>
        <v>7.9978862239830235</v>
      </c>
      <c r="I144" s="154">
        <f t="shared" si="43"/>
        <v>6.1587610034538516</v>
      </c>
      <c r="J144" s="105">
        <f t="shared" si="40"/>
        <v>12.317522006907703</v>
      </c>
      <c r="K144" s="155">
        <f t="shared" si="45"/>
        <v>15.995772447966047</v>
      </c>
      <c r="L144" s="156">
        <f t="shared" si="47"/>
        <v>-3.6782504410583439</v>
      </c>
      <c r="M144" s="105">
        <f t="shared" si="28"/>
        <v>-0.2633965407177859</v>
      </c>
      <c r="N144" s="157">
        <f t="shared" si="29"/>
        <v>-3.9416469817761297</v>
      </c>
      <c r="O144" s="105">
        <f t="shared" si="30"/>
        <v>0</v>
      </c>
      <c r="P144" s="105">
        <f t="shared" si="31"/>
        <v>0</v>
      </c>
      <c r="Q144" s="105">
        <v>0</v>
      </c>
      <c r="R144" s="157">
        <f t="shared" si="32"/>
        <v>-3.9416469817761297</v>
      </c>
    </row>
    <row r="145" spans="1:18" x14ac:dyDescent="0.2">
      <c r="A145" s="87">
        <v>6</v>
      </c>
      <c r="B145" s="151">
        <f t="shared" si="39"/>
        <v>45809</v>
      </c>
      <c r="C145" s="167">
        <f t="shared" si="46"/>
        <v>45841</v>
      </c>
      <c r="D145" s="167">
        <f t="shared" si="46"/>
        <v>45862</v>
      </c>
      <c r="E145" s="1" t="s">
        <v>16</v>
      </c>
      <c r="F145" s="87">
        <v>9</v>
      </c>
      <c r="G145" s="153">
        <v>3</v>
      </c>
      <c r="H145" s="154">
        <f t="shared" si="27"/>
        <v>7.9978862239830235</v>
      </c>
      <c r="I145" s="154">
        <f t="shared" si="43"/>
        <v>6.1587610034538516</v>
      </c>
      <c r="J145" s="105">
        <f t="shared" si="40"/>
        <v>18.476283010361556</v>
      </c>
      <c r="K145" s="155">
        <f t="shared" si="45"/>
        <v>23.993658671949071</v>
      </c>
      <c r="L145" s="156">
        <f t="shared" si="47"/>
        <v>-5.5173756615875149</v>
      </c>
      <c r="M145" s="105">
        <f t="shared" si="28"/>
        <v>-0.39509481107667893</v>
      </c>
      <c r="N145" s="157">
        <f t="shared" si="29"/>
        <v>-5.9124704726641939</v>
      </c>
      <c r="O145" s="105">
        <f t="shared" si="30"/>
        <v>0</v>
      </c>
      <c r="P145" s="105">
        <f t="shared" si="31"/>
        <v>0</v>
      </c>
      <c r="Q145" s="105">
        <v>0</v>
      </c>
      <c r="R145" s="157">
        <f t="shared" si="32"/>
        <v>-5.9124704726641939</v>
      </c>
    </row>
    <row r="146" spans="1:18" x14ac:dyDescent="0.2">
      <c r="A146" s="87">
        <v>7</v>
      </c>
      <c r="B146" s="151">
        <f t="shared" si="39"/>
        <v>45839</v>
      </c>
      <c r="C146" s="167">
        <f t="shared" si="46"/>
        <v>45874</v>
      </c>
      <c r="D146" s="167">
        <f t="shared" si="46"/>
        <v>45894</v>
      </c>
      <c r="E146" s="1" t="s">
        <v>16</v>
      </c>
      <c r="F146" s="87">
        <v>9</v>
      </c>
      <c r="G146" s="153">
        <v>7</v>
      </c>
      <c r="H146" s="154">
        <f t="shared" si="27"/>
        <v>7.9978862239830235</v>
      </c>
      <c r="I146" s="154">
        <f t="shared" si="43"/>
        <v>6.1587610034538516</v>
      </c>
      <c r="J146" s="105">
        <f t="shared" si="40"/>
        <v>43.111327024176958</v>
      </c>
      <c r="K146" s="155">
        <f t="shared" si="45"/>
        <v>55.985203567881165</v>
      </c>
      <c r="L146" s="156">
        <f t="shared" si="47"/>
        <v>-12.873876543704206</v>
      </c>
      <c r="M146" s="105">
        <f t="shared" si="28"/>
        <v>-0.92188789251225067</v>
      </c>
      <c r="N146" s="157">
        <f t="shared" si="29"/>
        <v>-13.795764436216457</v>
      </c>
      <c r="O146" s="105">
        <f t="shared" si="30"/>
        <v>0</v>
      </c>
      <c r="P146" s="105">
        <f t="shared" si="31"/>
        <v>0</v>
      </c>
      <c r="Q146" s="105">
        <v>0</v>
      </c>
      <c r="R146" s="157">
        <f t="shared" si="32"/>
        <v>-13.795764436216457</v>
      </c>
    </row>
    <row r="147" spans="1:18" x14ac:dyDescent="0.2">
      <c r="A147" s="87">
        <v>8</v>
      </c>
      <c r="B147" s="151">
        <f t="shared" si="39"/>
        <v>45870</v>
      </c>
      <c r="C147" s="167">
        <f t="shared" si="46"/>
        <v>45904</v>
      </c>
      <c r="D147" s="167">
        <f t="shared" si="46"/>
        <v>45924</v>
      </c>
      <c r="E147" s="1" t="s">
        <v>16</v>
      </c>
      <c r="F147" s="87">
        <v>9</v>
      </c>
      <c r="G147" s="153">
        <v>5</v>
      </c>
      <c r="H147" s="154">
        <f t="shared" si="27"/>
        <v>7.9978862239830235</v>
      </c>
      <c r="I147" s="154">
        <f t="shared" si="43"/>
        <v>6.1587610034538516</v>
      </c>
      <c r="J147" s="105">
        <f t="shared" si="40"/>
        <v>30.793805017269257</v>
      </c>
      <c r="K147" s="155">
        <f t="shared" si="45"/>
        <v>39.989431119915118</v>
      </c>
      <c r="L147" s="156">
        <f t="shared" si="47"/>
        <v>-9.1956261026458606</v>
      </c>
      <c r="M147" s="105">
        <f t="shared" si="28"/>
        <v>-0.65849135179446472</v>
      </c>
      <c r="N147" s="157">
        <f t="shared" si="29"/>
        <v>-9.8541174544403258</v>
      </c>
      <c r="O147" s="105">
        <f t="shared" si="30"/>
        <v>0</v>
      </c>
      <c r="P147" s="105">
        <f t="shared" si="31"/>
        <v>0</v>
      </c>
      <c r="Q147" s="105">
        <v>0</v>
      </c>
      <c r="R147" s="157">
        <f t="shared" si="32"/>
        <v>-9.8541174544403258</v>
      </c>
    </row>
    <row r="148" spans="1:18" x14ac:dyDescent="0.2">
      <c r="A148" s="87">
        <v>9</v>
      </c>
      <c r="B148" s="151">
        <f t="shared" si="39"/>
        <v>45901</v>
      </c>
      <c r="C148" s="167">
        <f t="shared" si="46"/>
        <v>45933</v>
      </c>
      <c r="D148" s="167">
        <f t="shared" si="46"/>
        <v>45954</v>
      </c>
      <c r="E148" s="1" t="s">
        <v>16</v>
      </c>
      <c r="F148" s="87">
        <v>9</v>
      </c>
      <c r="G148" s="153">
        <v>2</v>
      </c>
      <c r="H148" s="154">
        <f t="shared" si="27"/>
        <v>7.9978862239830235</v>
      </c>
      <c r="I148" s="154">
        <f t="shared" ref="I148:I179" si="48">$J$3</f>
        <v>6.1587610034538516</v>
      </c>
      <c r="J148" s="105">
        <f t="shared" si="40"/>
        <v>12.317522006907703</v>
      </c>
      <c r="K148" s="155">
        <f t="shared" si="45"/>
        <v>15.995772447966047</v>
      </c>
      <c r="L148" s="156">
        <f t="shared" si="47"/>
        <v>-3.6782504410583439</v>
      </c>
      <c r="M148" s="105">
        <f t="shared" si="28"/>
        <v>-0.2633965407177859</v>
      </c>
      <c r="N148" s="157">
        <f t="shared" si="29"/>
        <v>-3.9416469817761297</v>
      </c>
      <c r="O148" s="105">
        <f t="shared" si="30"/>
        <v>0</v>
      </c>
      <c r="P148" s="105">
        <f t="shared" si="31"/>
        <v>0</v>
      </c>
      <c r="Q148" s="105">
        <v>0</v>
      </c>
      <c r="R148" s="157">
        <f t="shared" si="32"/>
        <v>-3.9416469817761297</v>
      </c>
    </row>
    <row r="149" spans="1:18" x14ac:dyDescent="0.2">
      <c r="A149" s="87">
        <v>10</v>
      </c>
      <c r="B149" s="151">
        <f t="shared" ref="B149:B211" si="49">DATE($R$1,A149,1)</f>
        <v>45931</v>
      </c>
      <c r="C149" s="167">
        <f t="shared" si="46"/>
        <v>45966</v>
      </c>
      <c r="D149" s="167">
        <f t="shared" si="46"/>
        <v>45985</v>
      </c>
      <c r="E149" s="1" t="s">
        <v>16</v>
      </c>
      <c r="F149" s="87">
        <v>9</v>
      </c>
      <c r="G149" s="153">
        <v>3</v>
      </c>
      <c r="H149" s="154">
        <f t="shared" ref="H149:H211" si="50">+$K$3</f>
        <v>7.9978862239830235</v>
      </c>
      <c r="I149" s="154">
        <f t="shared" si="48"/>
        <v>6.1587610034538516</v>
      </c>
      <c r="J149" s="105">
        <f t="shared" ref="J149:J211" si="51">+$G149*I149</f>
        <v>18.476283010361556</v>
      </c>
      <c r="K149" s="155">
        <f t="shared" si="45"/>
        <v>23.993658671949071</v>
      </c>
      <c r="L149" s="156">
        <f t="shared" si="47"/>
        <v>-5.5173756615875149</v>
      </c>
      <c r="M149" s="105">
        <f t="shared" ref="M149:M211" si="52">G149/$G$212*$M$14</f>
        <v>-0.39509481107667893</v>
      </c>
      <c r="N149" s="157">
        <f t="shared" ref="N149:N211" si="53">SUM(L149:M149)</f>
        <v>-5.9124704726641939</v>
      </c>
      <c r="O149" s="105">
        <f t="shared" ref="O149:O211" si="54">+$P$3</f>
        <v>0</v>
      </c>
      <c r="P149" s="105">
        <f t="shared" ref="P149:P211" si="55">+G149*O149</f>
        <v>0</v>
      </c>
      <c r="Q149" s="105">
        <v>0</v>
      </c>
      <c r="R149" s="157">
        <f t="shared" ref="R149:R211" si="56">+N149-Q149</f>
        <v>-5.9124704726641939</v>
      </c>
    </row>
    <row r="150" spans="1:18" x14ac:dyDescent="0.2">
      <c r="A150" s="87">
        <v>11</v>
      </c>
      <c r="B150" s="151">
        <f t="shared" si="49"/>
        <v>45962</v>
      </c>
      <c r="C150" s="167">
        <f t="shared" si="46"/>
        <v>45994</v>
      </c>
      <c r="D150" s="167">
        <f t="shared" si="46"/>
        <v>46015</v>
      </c>
      <c r="E150" s="1" t="s">
        <v>16</v>
      </c>
      <c r="F150" s="87">
        <v>9</v>
      </c>
      <c r="G150" s="153">
        <v>1</v>
      </c>
      <c r="H150" s="154">
        <f t="shared" si="50"/>
        <v>7.9978862239830235</v>
      </c>
      <c r="I150" s="154">
        <f t="shared" si="48"/>
        <v>6.1587610034538516</v>
      </c>
      <c r="J150" s="105">
        <f t="shared" si="51"/>
        <v>6.1587610034538516</v>
      </c>
      <c r="K150" s="155">
        <f t="shared" si="45"/>
        <v>7.9978862239830235</v>
      </c>
      <c r="L150" s="156">
        <f t="shared" si="47"/>
        <v>-1.8391252205291719</v>
      </c>
      <c r="M150" s="105">
        <f t="shared" si="52"/>
        <v>-0.13169827035889295</v>
      </c>
      <c r="N150" s="157">
        <f t="shared" si="53"/>
        <v>-1.9708234908880649</v>
      </c>
      <c r="O150" s="105">
        <f t="shared" si="54"/>
        <v>0</v>
      </c>
      <c r="P150" s="105">
        <f t="shared" si="55"/>
        <v>0</v>
      </c>
      <c r="Q150" s="105">
        <v>0</v>
      </c>
      <c r="R150" s="157">
        <f t="shared" si="56"/>
        <v>-1.9708234908880649</v>
      </c>
    </row>
    <row r="151" spans="1:18" s="171" customFormat="1" x14ac:dyDescent="0.2">
      <c r="A151" s="87">
        <v>12</v>
      </c>
      <c r="B151" s="169">
        <f t="shared" si="49"/>
        <v>45992</v>
      </c>
      <c r="C151" s="167">
        <f t="shared" si="46"/>
        <v>46028</v>
      </c>
      <c r="D151" s="167">
        <f t="shared" si="46"/>
        <v>46048</v>
      </c>
      <c r="E151" s="170" t="s">
        <v>16</v>
      </c>
      <c r="F151" s="128">
        <v>9</v>
      </c>
      <c r="G151" s="191">
        <v>2</v>
      </c>
      <c r="H151" s="159">
        <f t="shared" si="50"/>
        <v>7.9978862239830235</v>
      </c>
      <c r="I151" s="159">
        <f t="shared" si="48"/>
        <v>6.1587610034538516</v>
      </c>
      <c r="J151" s="160">
        <f t="shared" si="51"/>
        <v>12.317522006907703</v>
      </c>
      <c r="K151" s="161">
        <f t="shared" si="45"/>
        <v>15.995772447966047</v>
      </c>
      <c r="L151" s="162">
        <f t="shared" si="47"/>
        <v>-3.6782504410583439</v>
      </c>
      <c r="M151" s="160">
        <f t="shared" si="52"/>
        <v>-0.2633965407177859</v>
      </c>
      <c r="N151" s="192">
        <f t="shared" si="53"/>
        <v>-3.9416469817761297</v>
      </c>
      <c r="O151" s="160">
        <f t="shared" si="54"/>
        <v>0</v>
      </c>
      <c r="P151" s="160">
        <f t="shared" si="55"/>
        <v>0</v>
      </c>
      <c r="Q151" s="160">
        <v>0</v>
      </c>
      <c r="R151" s="192">
        <f t="shared" si="56"/>
        <v>-3.9416469817761297</v>
      </c>
    </row>
    <row r="152" spans="1:18" x14ac:dyDescent="0.2">
      <c r="A152" s="87">
        <v>1</v>
      </c>
      <c r="B152" s="151">
        <f t="shared" si="49"/>
        <v>45658</v>
      </c>
      <c r="C152" s="164">
        <f t="shared" ref="C152:D171" si="57">+C140</f>
        <v>45693</v>
      </c>
      <c r="D152" s="164">
        <f t="shared" si="57"/>
        <v>45712</v>
      </c>
      <c r="E152" s="174" t="s">
        <v>55</v>
      </c>
      <c r="F152" s="87">
        <v>9</v>
      </c>
      <c r="G152" s="153">
        <v>137</v>
      </c>
      <c r="H152" s="154">
        <f t="shared" si="50"/>
        <v>7.9978862239830235</v>
      </c>
      <c r="I152" s="154">
        <f t="shared" si="48"/>
        <v>6.1587610034538516</v>
      </c>
      <c r="J152" s="105">
        <f t="shared" si="51"/>
        <v>843.75025747317761</v>
      </c>
      <c r="K152" s="155">
        <f t="shared" si="45"/>
        <v>1095.7104126856743</v>
      </c>
      <c r="L152" s="156">
        <f t="shared" si="47"/>
        <v>-251.96015521249672</v>
      </c>
      <c r="M152" s="105">
        <f t="shared" si="52"/>
        <v>-18.042663039168335</v>
      </c>
      <c r="N152" s="157">
        <f t="shared" si="53"/>
        <v>-270.00281825166508</v>
      </c>
      <c r="O152" s="105">
        <f t="shared" si="54"/>
        <v>0</v>
      </c>
      <c r="P152" s="105">
        <f t="shared" si="55"/>
        <v>0</v>
      </c>
      <c r="Q152" s="105">
        <v>0</v>
      </c>
      <c r="R152" s="157">
        <f t="shared" si="56"/>
        <v>-270.00281825166508</v>
      </c>
    </row>
    <row r="153" spans="1:18" x14ac:dyDescent="0.2">
      <c r="A153" s="87">
        <v>2</v>
      </c>
      <c r="B153" s="151">
        <f t="shared" si="49"/>
        <v>45689</v>
      </c>
      <c r="C153" s="167">
        <f t="shared" si="57"/>
        <v>45721</v>
      </c>
      <c r="D153" s="167">
        <f t="shared" si="57"/>
        <v>45740</v>
      </c>
      <c r="E153" s="175" t="s">
        <v>55</v>
      </c>
      <c r="F153" s="87">
        <v>9</v>
      </c>
      <c r="G153" s="153">
        <v>156</v>
      </c>
      <c r="H153" s="154">
        <f t="shared" si="50"/>
        <v>7.9978862239830235</v>
      </c>
      <c r="I153" s="154">
        <f t="shared" si="48"/>
        <v>6.1587610034538516</v>
      </c>
      <c r="J153" s="105">
        <f t="shared" si="51"/>
        <v>960.76671653880089</v>
      </c>
      <c r="K153" s="155">
        <f t="shared" si="45"/>
        <v>1247.6702509413517</v>
      </c>
      <c r="L153" s="156">
        <f t="shared" si="47"/>
        <v>-286.9035344025508</v>
      </c>
      <c r="M153" s="105">
        <f t="shared" si="52"/>
        <v>-20.544930175987304</v>
      </c>
      <c r="N153" s="157">
        <f t="shared" si="53"/>
        <v>-307.44846457853811</v>
      </c>
      <c r="O153" s="105">
        <f t="shared" si="54"/>
        <v>0</v>
      </c>
      <c r="P153" s="105">
        <f t="shared" si="55"/>
        <v>0</v>
      </c>
      <c r="Q153" s="105">
        <v>0</v>
      </c>
      <c r="R153" s="157">
        <f t="shared" si="56"/>
        <v>-307.44846457853811</v>
      </c>
    </row>
    <row r="154" spans="1:18" x14ac:dyDescent="0.2">
      <c r="A154" s="87">
        <v>3</v>
      </c>
      <c r="B154" s="151">
        <f t="shared" si="49"/>
        <v>45717</v>
      </c>
      <c r="C154" s="167">
        <f t="shared" si="57"/>
        <v>45750</v>
      </c>
      <c r="D154" s="167">
        <f t="shared" si="57"/>
        <v>45771</v>
      </c>
      <c r="E154" s="175" t="s">
        <v>55</v>
      </c>
      <c r="F154" s="87">
        <v>9</v>
      </c>
      <c r="G154" s="153">
        <v>113</v>
      </c>
      <c r="H154" s="154">
        <f t="shared" si="50"/>
        <v>7.9978862239830235</v>
      </c>
      <c r="I154" s="154">
        <f t="shared" si="48"/>
        <v>6.1587610034538516</v>
      </c>
      <c r="J154" s="105">
        <f t="shared" si="51"/>
        <v>695.93999339028528</v>
      </c>
      <c r="K154" s="155">
        <f t="shared" si="45"/>
        <v>903.76114331008171</v>
      </c>
      <c r="L154" s="156">
        <f>+J154-K154</f>
        <v>-207.82114991979643</v>
      </c>
      <c r="M154" s="105">
        <f t="shared" si="52"/>
        <v>-14.881904550554903</v>
      </c>
      <c r="N154" s="157">
        <f t="shared" si="53"/>
        <v>-222.70305447035133</v>
      </c>
      <c r="O154" s="105">
        <f t="shared" si="54"/>
        <v>0</v>
      </c>
      <c r="P154" s="105">
        <f t="shared" si="55"/>
        <v>0</v>
      </c>
      <c r="Q154" s="105">
        <v>0</v>
      </c>
      <c r="R154" s="157">
        <f t="shared" si="56"/>
        <v>-222.70305447035133</v>
      </c>
    </row>
    <row r="155" spans="1:18" x14ac:dyDescent="0.2">
      <c r="A155" s="87">
        <v>4</v>
      </c>
      <c r="B155" s="151">
        <f t="shared" si="49"/>
        <v>45748</v>
      </c>
      <c r="C155" s="167">
        <f t="shared" si="57"/>
        <v>45782</v>
      </c>
      <c r="D155" s="167">
        <f t="shared" si="57"/>
        <v>45803</v>
      </c>
      <c r="E155" s="175" t="s">
        <v>55</v>
      </c>
      <c r="F155" s="87">
        <v>9</v>
      </c>
      <c r="G155" s="153">
        <v>112</v>
      </c>
      <c r="H155" s="154">
        <f t="shared" si="50"/>
        <v>7.9978862239830235</v>
      </c>
      <c r="I155" s="154">
        <f t="shared" si="48"/>
        <v>6.1587610034538516</v>
      </c>
      <c r="J155" s="105">
        <f t="shared" si="51"/>
        <v>689.78123238683133</v>
      </c>
      <c r="K155" s="155">
        <f t="shared" si="45"/>
        <v>895.76325708609863</v>
      </c>
      <c r="L155" s="156">
        <f t="shared" ref="L155:L165" si="58">+J155-K155</f>
        <v>-205.9820246992673</v>
      </c>
      <c r="M155" s="105">
        <f t="shared" si="52"/>
        <v>-14.750206280196011</v>
      </c>
      <c r="N155" s="157">
        <f t="shared" si="53"/>
        <v>-220.73223097946331</v>
      </c>
      <c r="O155" s="105">
        <f t="shared" si="54"/>
        <v>0</v>
      </c>
      <c r="P155" s="105">
        <f t="shared" si="55"/>
        <v>0</v>
      </c>
      <c r="Q155" s="105">
        <v>0</v>
      </c>
      <c r="R155" s="157">
        <f t="shared" si="56"/>
        <v>-220.73223097946331</v>
      </c>
    </row>
    <row r="156" spans="1:18" x14ac:dyDescent="0.2">
      <c r="A156" s="87">
        <v>5</v>
      </c>
      <c r="B156" s="151">
        <f t="shared" si="49"/>
        <v>45778</v>
      </c>
      <c r="C156" s="167">
        <f t="shared" si="57"/>
        <v>45812</v>
      </c>
      <c r="D156" s="167">
        <f t="shared" si="57"/>
        <v>45832</v>
      </c>
      <c r="E156" s="175" t="s">
        <v>55</v>
      </c>
      <c r="F156" s="87">
        <v>9</v>
      </c>
      <c r="G156" s="153">
        <v>142</v>
      </c>
      <c r="H156" s="154">
        <f t="shared" si="50"/>
        <v>7.9978862239830235</v>
      </c>
      <c r="I156" s="154">
        <f t="shared" si="48"/>
        <v>6.1587610034538516</v>
      </c>
      <c r="J156" s="105">
        <f t="shared" si="51"/>
        <v>874.54406249044689</v>
      </c>
      <c r="K156" s="155">
        <f t="shared" si="45"/>
        <v>1135.6998438055894</v>
      </c>
      <c r="L156" s="156">
        <f t="shared" si="58"/>
        <v>-261.15578131514246</v>
      </c>
      <c r="M156" s="105">
        <f t="shared" si="52"/>
        <v>-18.701154390962802</v>
      </c>
      <c r="N156" s="157">
        <f t="shared" si="53"/>
        <v>-279.85693570610528</v>
      </c>
      <c r="O156" s="105">
        <f t="shared" si="54"/>
        <v>0</v>
      </c>
      <c r="P156" s="105">
        <f t="shared" si="55"/>
        <v>0</v>
      </c>
      <c r="Q156" s="105">
        <v>0</v>
      </c>
      <c r="R156" s="157">
        <f t="shared" si="56"/>
        <v>-279.85693570610528</v>
      </c>
    </row>
    <row r="157" spans="1:18" x14ac:dyDescent="0.2">
      <c r="A157" s="87">
        <v>6</v>
      </c>
      <c r="B157" s="151">
        <f t="shared" si="49"/>
        <v>45809</v>
      </c>
      <c r="C157" s="167">
        <f t="shared" si="57"/>
        <v>45841</v>
      </c>
      <c r="D157" s="167">
        <f t="shared" si="57"/>
        <v>45862</v>
      </c>
      <c r="E157" s="175" t="s">
        <v>55</v>
      </c>
      <c r="F157" s="87">
        <v>9</v>
      </c>
      <c r="G157" s="153">
        <v>165</v>
      </c>
      <c r="H157" s="154">
        <f t="shared" si="50"/>
        <v>7.9978862239830235</v>
      </c>
      <c r="I157" s="154">
        <f t="shared" si="48"/>
        <v>6.1587610034538516</v>
      </c>
      <c r="J157" s="105">
        <f t="shared" si="51"/>
        <v>1016.1955655698855</v>
      </c>
      <c r="K157" s="155">
        <f t="shared" si="45"/>
        <v>1319.6512269571988</v>
      </c>
      <c r="L157" s="156">
        <f t="shared" si="58"/>
        <v>-303.45566138731328</v>
      </c>
      <c r="M157" s="105">
        <f t="shared" si="52"/>
        <v>-21.730214609217338</v>
      </c>
      <c r="N157" s="157">
        <f t="shared" si="53"/>
        <v>-325.18587599653063</v>
      </c>
      <c r="O157" s="105">
        <f t="shared" si="54"/>
        <v>0</v>
      </c>
      <c r="P157" s="105">
        <f t="shared" si="55"/>
        <v>0</v>
      </c>
      <c r="Q157" s="105">
        <v>0</v>
      </c>
      <c r="R157" s="157">
        <f t="shared" si="56"/>
        <v>-325.18587599653063</v>
      </c>
    </row>
    <row r="158" spans="1:18" x14ac:dyDescent="0.2">
      <c r="A158" s="87">
        <v>7</v>
      </c>
      <c r="B158" s="151">
        <f t="shared" si="49"/>
        <v>45839</v>
      </c>
      <c r="C158" s="167">
        <f t="shared" si="57"/>
        <v>45874</v>
      </c>
      <c r="D158" s="167">
        <f t="shared" si="57"/>
        <v>45894</v>
      </c>
      <c r="E158" s="175" t="s">
        <v>55</v>
      </c>
      <c r="F158" s="87">
        <v>9</v>
      </c>
      <c r="G158" s="153">
        <v>185</v>
      </c>
      <c r="H158" s="154">
        <f t="shared" si="50"/>
        <v>7.9978862239830235</v>
      </c>
      <c r="I158" s="154">
        <f t="shared" si="48"/>
        <v>6.1587610034538516</v>
      </c>
      <c r="J158" s="105">
        <f t="shared" si="51"/>
        <v>1139.3707856389626</v>
      </c>
      <c r="K158" s="155">
        <f t="shared" si="45"/>
        <v>1479.6089514368593</v>
      </c>
      <c r="L158" s="156">
        <f t="shared" si="58"/>
        <v>-340.23816579789673</v>
      </c>
      <c r="M158" s="105">
        <f t="shared" si="52"/>
        <v>-24.364180016395196</v>
      </c>
      <c r="N158" s="157">
        <f t="shared" si="53"/>
        <v>-364.60234581429194</v>
      </c>
      <c r="O158" s="105">
        <f t="shared" si="54"/>
        <v>0</v>
      </c>
      <c r="P158" s="105">
        <f t="shared" si="55"/>
        <v>0</v>
      </c>
      <c r="Q158" s="105">
        <v>0</v>
      </c>
      <c r="R158" s="157">
        <f t="shared" si="56"/>
        <v>-364.60234581429194</v>
      </c>
    </row>
    <row r="159" spans="1:18" x14ac:dyDescent="0.2">
      <c r="A159" s="87">
        <v>8</v>
      </c>
      <c r="B159" s="151">
        <f t="shared" si="49"/>
        <v>45870</v>
      </c>
      <c r="C159" s="167">
        <f t="shared" si="57"/>
        <v>45904</v>
      </c>
      <c r="D159" s="167">
        <f t="shared" si="57"/>
        <v>45924</v>
      </c>
      <c r="E159" s="175" t="s">
        <v>55</v>
      </c>
      <c r="F159" s="87">
        <v>9</v>
      </c>
      <c r="G159" s="153">
        <v>191</v>
      </c>
      <c r="H159" s="154">
        <f t="shared" si="50"/>
        <v>7.9978862239830235</v>
      </c>
      <c r="I159" s="154">
        <f t="shared" si="48"/>
        <v>6.1587610034538516</v>
      </c>
      <c r="J159" s="105">
        <f t="shared" si="51"/>
        <v>1176.3233516596856</v>
      </c>
      <c r="K159" s="155">
        <f t="shared" si="45"/>
        <v>1527.5962687807576</v>
      </c>
      <c r="L159" s="156">
        <f t="shared" si="58"/>
        <v>-351.27291712107194</v>
      </c>
      <c r="M159" s="105">
        <f t="shared" si="52"/>
        <v>-25.154369638548555</v>
      </c>
      <c r="N159" s="157">
        <f t="shared" si="53"/>
        <v>-376.42728675962047</v>
      </c>
      <c r="O159" s="105">
        <f t="shared" si="54"/>
        <v>0</v>
      </c>
      <c r="P159" s="105">
        <f t="shared" si="55"/>
        <v>0</v>
      </c>
      <c r="Q159" s="105">
        <v>0</v>
      </c>
      <c r="R159" s="157">
        <f t="shared" si="56"/>
        <v>-376.42728675962047</v>
      </c>
    </row>
    <row r="160" spans="1:18" x14ac:dyDescent="0.2">
      <c r="A160" s="87">
        <v>9</v>
      </c>
      <c r="B160" s="151">
        <f t="shared" si="49"/>
        <v>45901</v>
      </c>
      <c r="C160" s="167">
        <f t="shared" si="57"/>
        <v>45933</v>
      </c>
      <c r="D160" s="167">
        <f t="shared" si="57"/>
        <v>45954</v>
      </c>
      <c r="E160" s="175" t="s">
        <v>55</v>
      </c>
      <c r="F160" s="87">
        <v>9</v>
      </c>
      <c r="G160" s="153">
        <v>140</v>
      </c>
      <c r="H160" s="154">
        <f t="shared" si="50"/>
        <v>7.9978862239830235</v>
      </c>
      <c r="I160" s="154">
        <f t="shared" si="48"/>
        <v>6.1587610034538516</v>
      </c>
      <c r="J160" s="105">
        <f t="shared" si="51"/>
        <v>862.22654048353922</v>
      </c>
      <c r="K160" s="155">
        <f t="shared" si="45"/>
        <v>1119.7040713576232</v>
      </c>
      <c r="L160" s="156">
        <f t="shared" si="58"/>
        <v>-257.47753087408398</v>
      </c>
      <c r="M160" s="105">
        <f t="shared" si="52"/>
        <v>-18.437757850245013</v>
      </c>
      <c r="N160" s="157">
        <f t="shared" si="53"/>
        <v>-275.915288724329</v>
      </c>
      <c r="O160" s="105">
        <f t="shared" si="54"/>
        <v>0</v>
      </c>
      <c r="P160" s="105">
        <f t="shared" si="55"/>
        <v>0</v>
      </c>
      <c r="Q160" s="105">
        <v>0</v>
      </c>
      <c r="R160" s="157">
        <f t="shared" si="56"/>
        <v>-275.915288724329</v>
      </c>
    </row>
    <row r="161" spans="1:18" x14ac:dyDescent="0.2">
      <c r="A161" s="87">
        <v>10</v>
      </c>
      <c r="B161" s="151">
        <f t="shared" si="49"/>
        <v>45931</v>
      </c>
      <c r="C161" s="167">
        <f t="shared" si="57"/>
        <v>45966</v>
      </c>
      <c r="D161" s="167">
        <f t="shared" si="57"/>
        <v>45985</v>
      </c>
      <c r="E161" s="175" t="s">
        <v>55</v>
      </c>
      <c r="F161" s="87">
        <v>9</v>
      </c>
      <c r="G161" s="153">
        <v>137</v>
      </c>
      <c r="H161" s="154">
        <f t="shared" si="50"/>
        <v>7.9978862239830235</v>
      </c>
      <c r="I161" s="154">
        <f t="shared" si="48"/>
        <v>6.1587610034538516</v>
      </c>
      <c r="J161" s="105">
        <f t="shared" si="51"/>
        <v>843.75025747317761</v>
      </c>
      <c r="K161" s="155">
        <f t="shared" si="45"/>
        <v>1095.7104126856743</v>
      </c>
      <c r="L161" s="156">
        <f t="shared" si="58"/>
        <v>-251.96015521249672</v>
      </c>
      <c r="M161" s="105">
        <f t="shared" si="52"/>
        <v>-18.042663039168335</v>
      </c>
      <c r="N161" s="157">
        <f t="shared" si="53"/>
        <v>-270.00281825166508</v>
      </c>
      <c r="O161" s="105">
        <f t="shared" si="54"/>
        <v>0</v>
      </c>
      <c r="P161" s="105">
        <f t="shared" si="55"/>
        <v>0</v>
      </c>
      <c r="Q161" s="105">
        <v>0</v>
      </c>
      <c r="R161" s="157">
        <f t="shared" si="56"/>
        <v>-270.00281825166508</v>
      </c>
    </row>
    <row r="162" spans="1:18" x14ac:dyDescent="0.2">
      <c r="A162" s="87">
        <v>11</v>
      </c>
      <c r="B162" s="151">
        <f t="shared" si="49"/>
        <v>45962</v>
      </c>
      <c r="C162" s="167">
        <f t="shared" si="57"/>
        <v>45994</v>
      </c>
      <c r="D162" s="167">
        <f t="shared" si="57"/>
        <v>46015</v>
      </c>
      <c r="E162" s="175" t="s">
        <v>55</v>
      </c>
      <c r="F162" s="87">
        <v>9</v>
      </c>
      <c r="G162" s="153">
        <v>120</v>
      </c>
      <c r="H162" s="154">
        <f t="shared" si="50"/>
        <v>7.9978862239830235</v>
      </c>
      <c r="I162" s="154">
        <f t="shared" si="48"/>
        <v>6.1587610034538516</v>
      </c>
      <c r="J162" s="105">
        <f t="shared" si="51"/>
        <v>739.05132041446223</v>
      </c>
      <c r="K162" s="155">
        <f t="shared" si="45"/>
        <v>959.74634687796288</v>
      </c>
      <c r="L162" s="156">
        <f t="shared" si="58"/>
        <v>-220.69502646350065</v>
      </c>
      <c r="M162" s="105">
        <f t="shared" si="52"/>
        <v>-15.803792443067154</v>
      </c>
      <c r="N162" s="157">
        <f t="shared" si="53"/>
        <v>-236.49881890656781</v>
      </c>
      <c r="O162" s="105">
        <f t="shared" si="54"/>
        <v>0</v>
      </c>
      <c r="P162" s="105">
        <f t="shared" si="55"/>
        <v>0</v>
      </c>
      <c r="Q162" s="105">
        <v>0</v>
      </c>
      <c r="R162" s="157">
        <f t="shared" si="56"/>
        <v>-236.49881890656781</v>
      </c>
    </row>
    <row r="163" spans="1:18" s="171" customFormat="1" x14ac:dyDescent="0.2">
      <c r="A163" s="87">
        <v>12</v>
      </c>
      <c r="B163" s="169">
        <f t="shared" si="49"/>
        <v>45992</v>
      </c>
      <c r="C163" s="167">
        <f t="shared" si="57"/>
        <v>46028</v>
      </c>
      <c r="D163" s="167">
        <f t="shared" si="57"/>
        <v>46048</v>
      </c>
      <c r="E163" s="176" t="s">
        <v>55</v>
      </c>
      <c r="F163" s="128">
        <v>9</v>
      </c>
      <c r="G163" s="191">
        <v>128</v>
      </c>
      <c r="H163" s="159">
        <f t="shared" si="50"/>
        <v>7.9978862239830235</v>
      </c>
      <c r="I163" s="159">
        <f t="shared" si="48"/>
        <v>6.1587610034538516</v>
      </c>
      <c r="J163" s="160">
        <f t="shared" si="51"/>
        <v>788.321408442093</v>
      </c>
      <c r="K163" s="161">
        <f t="shared" si="45"/>
        <v>1023.729436669827</v>
      </c>
      <c r="L163" s="162">
        <f t="shared" si="58"/>
        <v>-235.40802822773401</v>
      </c>
      <c r="M163" s="160">
        <f t="shared" si="52"/>
        <v>-16.857378605938298</v>
      </c>
      <c r="N163" s="192">
        <f t="shared" si="53"/>
        <v>-252.2654068336723</v>
      </c>
      <c r="O163" s="160">
        <f t="shared" si="54"/>
        <v>0</v>
      </c>
      <c r="P163" s="160">
        <f t="shared" si="55"/>
        <v>0</v>
      </c>
      <c r="Q163" s="160">
        <v>0</v>
      </c>
      <c r="R163" s="192">
        <f t="shared" si="56"/>
        <v>-252.2654068336723</v>
      </c>
    </row>
    <row r="164" spans="1:18" x14ac:dyDescent="0.2">
      <c r="A164" s="87">
        <v>1</v>
      </c>
      <c r="B164" s="151">
        <f t="shared" si="49"/>
        <v>45658</v>
      </c>
      <c r="C164" s="164">
        <f t="shared" si="57"/>
        <v>45693</v>
      </c>
      <c r="D164" s="164">
        <f t="shared" si="57"/>
        <v>45712</v>
      </c>
      <c r="E164" s="174" t="s">
        <v>56</v>
      </c>
      <c r="F164" s="87">
        <v>9</v>
      </c>
      <c r="G164" s="153">
        <v>11</v>
      </c>
      <c r="H164" s="154">
        <f t="shared" si="50"/>
        <v>7.9978862239830235</v>
      </c>
      <c r="I164" s="154">
        <f t="shared" si="48"/>
        <v>6.1587610034538516</v>
      </c>
      <c r="J164" s="105">
        <f t="shared" si="51"/>
        <v>67.746371037992361</v>
      </c>
      <c r="K164" s="155">
        <f t="shared" si="45"/>
        <v>87.976748463813266</v>
      </c>
      <c r="L164" s="156">
        <f t="shared" si="58"/>
        <v>-20.230377425820905</v>
      </c>
      <c r="M164" s="105">
        <f t="shared" si="52"/>
        <v>-1.4486809739478226</v>
      </c>
      <c r="N164" s="157">
        <f t="shared" si="53"/>
        <v>-21.679058399768728</v>
      </c>
      <c r="O164" s="105">
        <f t="shared" si="54"/>
        <v>0</v>
      </c>
      <c r="P164" s="105">
        <f t="shared" si="55"/>
        <v>0</v>
      </c>
      <c r="Q164" s="105">
        <v>0</v>
      </c>
      <c r="R164" s="157">
        <f t="shared" si="56"/>
        <v>-21.679058399768728</v>
      </c>
    </row>
    <row r="165" spans="1:18" x14ac:dyDescent="0.2">
      <c r="A165" s="87">
        <v>2</v>
      </c>
      <c r="B165" s="151">
        <f t="shared" si="49"/>
        <v>45689</v>
      </c>
      <c r="C165" s="167">
        <f t="shared" si="57"/>
        <v>45721</v>
      </c>
      <c r="D165" s="167">
        <f t="shared" si="57"/>
        <v>45740</v>
      </c>
      <c r="E165" s="175" t="s">
        <v>56</v>
      </c>
      <c r="F165" s="87">
        <v>9</v>
      </c>
      <c r="G165" s="153">
        <v>9</v>
      </c>
      <c r="H165" s="154">
        <f t="shared" si="50"/>
        <v>7.9978862239830235</v>
      </c>
      <c r="I165" s="154">
        <f t="shared" si="48"/>
        <v>6.1587610034538516</v>
      </c>
      <c r="J165" s="105">
        <f t="shared" si="51"/>
        <v>55.428849031084667</v>
      </c>
      <c r="K165" s="155">
        <f t="shared" si="45"/>
        <v>71.980976015847205</v>
      </c>
      <c r="L165" s="156">
        <f t="shared" si="58"/>
        <v>-16.552126984762538</v>
      </c>
      <c r="M165" s="105">
        <f t="shared" si="52"/>
        <v>-1.1852844332300365</v>
      </c>
      <c r="N165" s="157">
        <f t="shared" si="53"/>
        <v>-17.737411417992575</v>
      </c>
      <c r="O165" s="105">
        <f t="shared" si="54"/>
        <v>0</v>
      </c>
      <c r="P165" s="105">
        <f t="shared" si="55"/>
        <v>0</v>
      </c>
      <c r="Q165" s="105">
        <v>0</v>
      </c>
      <c r="R165" s="157">
        <f t="shared" si="56"/>
        <v>-17.737411417992575</v>
      </c>
    </row>
    <row r="166" spans="1:18" x14ac:dyDescent="0.2">
      <c r="A166" s="87">
        <v>3</v>
      </c>
      <c r="B166" s="151">
        <f t="shared" si="49"/>
        <v>45717</v>
      </c>
      <c r="C166" s="167">
        <f t="shared" si="57"/>
        <v>45750</v>
      </c>
      <c r="D166" s="167">
        <f t="shared" si="57"/>
        <v>45771</v>
      </c>
      <c r="E166" s="175" t="s">
        <v>56</v>
      </c>
      <c r="F166" s="87">
        <v>9</v>
      </c>
      <c r="G166" s="153">
        <v>8</v>
      </c>
      <c r="H166" s="154">
        <f t="shared" si="50"/>
        <v>7.9978862239830235</v>
      </c>
      <c r="I166" s="154">
        <f t="shared" si="48"/>
        <v>6.1587610034538516</v>
      </c>
      <c r="J166" s="105">
        <f t="shared" si="51"/>
        <v>49.270088027630813</v>
      </c>
      <c r="K166" s="155">
        <f t="shared" si="45"/>
        <v>63.983089791864188</v>
      </c>
      <c r="L166" s="156">
        <f>+J166-K166</f>
        <v>-14.713001764233375</v>
      </c>
      <c r="M166" s="105">
        <f t="shared" si="52"/>
        <v>-1.0535861628711436</v>
      </c>
      <c r="N166" s="157">
        <f t="shared" si="53"/>
        <v>-15.766587927104519</v>
      </c>
      <c r="O166" s="105">
        <f t="shared" si="54"/>
        <v>0</v>
      </c>
      <c r="P166" s="105">
        <f t="shared" si="55"/>
        <v>0</v>
      </c>
      <c r="Q166" s="105">
        <v>0</v>
      </c>
      <c r="R166" s="157">
        <f t="shared" si="56"/>
        <v>-15.766587927104519</v>
      </c>
    </row>
    <row r="167" spans="1:18" x14ac:dyDescent="0.2">
      <c r="A167" s="87">
        <v>4</v>
      </c>
      <c r="B167" s="151">
        <f t="shared" si="49"/>
        <v>45748</v>
      </c>
      <c r="C167" s="167">
        <f t="shared" si="57"/>
        <v>45782</v>
      </c>
      <c r="D167" s="167">
        <f t="shared" si="57"/>
        <v>45803</v>
      </c>
      <c r="E167" s="175" t="s">
        <v>56</v>
      </c>
      <c r="F167" s="87">
        <v>9</v>
      </c>
      <c r="G167" s="153">
        <v>10</v>
      </c>
      <c r="H167" s="154">
        <f t="shared" si="50"/>
        <v>7.9978862239830235</v>
      </c>
      <c r="I167" s="154">
        <f t="shared" si="48"/>
        <v>6.1587610034538516</v>
      </c>
      <c r="J167" s="105">
        <f t="shared" si="51"/>
        <v>61.587610034538514</v>
      </c>
      <c r="K167" s="155">
        <f t="shared" si="45"/>
        <v>79.978862239830235</v>
      </c>
      <c r="L167" s="156">
        <f t="shared" ref="L167:L177" si="59">+J167-K167</f>
        <v>-18.391252205291721</v>
      </c>
      <c r="M167" s="105">
        <f t="shared" si="52"/>
        <v>-1.3169827035889294</v>
      </c>
      <c r="N167" s="157">
        <f t="shared" si="53"/>
        <v>-19.708234908880652</v>
      </c>
      <c r="O167" s="105">
        <f t="shared" si="54"/>
        <v>0</v>
      </c>
      <c r="P167" s="105">
        <f t="shared" si="55"/>
        <v>0</v>
      </c>
      <c r="Q167" s="105">
        <v>0</v>
      </c>
      <c r="R167" s="157">
        <f t="shared" si="56"/>
        <v>-19.708234908880652</v>
      </c>
    </row>
    <row r="168" spans="1:18" x14ac:dyDescent="0.2">
      <c r="A168" s="87">
        <v>5</v>
      </c>
      <c r="B168" s="151">
        <f t="shared" si="49"/>
        <v>45778</v>
      </c>
      <c r="C168" s="167">
        <f t="shared" si="57"/>
        <v>45812</v>
      </c>
      <c r="D168" s="167">
        <f t="shared" si="57"/>
        <v>45832</v>
      </c>
      <c r="E168" s="175" t="s">
        <v>56</v>
      </c>
      <c r="F168" s="87">
        <v>9</v>
      </c>
      <c r="G168" s="153">
        <v>11</v>
      </c>
      <c r="H168" s="154">
        <f t="shared" si="50"/>
        <v>7.9978862239830235</v>
      </c>
      <c r="I168" s="154">
        <f t="shared" si="48"/>
        <v>6.1587610034538516</v>
      </c>
      <c r="J168" s="105">
        <f t="shared" si="51"/>
        <v>67.746371037992361</v>
      </c>
      <c r="K168" s="155">
        <f t="shared" si="45"/>
        <v>87.976748463813266</v>
      </c>
      <c r="L168" s="156">
        <f t="shared" si="59"/>
        <v>-20.230377425820905</v>
      </c>
      <c r="M168" s="105">
        <f t="shared" si="52"/>
        <v>-1.4486809739478226</v>
      </c>
      <c r="N168" s="157">
        <f t="shared" si="53"/>
        <v>-21.679058399768728</v>
      </c>
      <c r="O168" s="105">
        <f t="shared" si="54"/>
        <v>0</v>
      </c>
      <c r="P168" s="105">
        <f t="shared" si="55"/>
        <v>0</v>
      </c>
      <c r="Q168" s="105">
        <v>0</v>
      </c>
      <c r="R168" s="157">
        <f t="shared" si="56"/>
        <v>-21.679058399768728</v>
      </c>
    </row>
    <row r="169" spans="1:18" x14ac:dyDescent="0.2">
      <c r="A169" s="87">
        <v>6</v>
      </c>
      <c r="B169" s="151">
        <f t="shared" si="49"/>
        <v>45809</v>
      </c>
      <c r="C169" s="167">
        <f t="shared" si="57"/>
        <v>45841</v>
      </c>
      <c r="D169" s="167">
        <f t="shared" si="57"/>
        <v>45862</v>
      </c>
      <c r="E169" s="175" t="s">
        <v>56</v>
      </c>
      <c r="F169" s="87">
        <v>9</v>
      </c>
      <c r="G169" s="153">
        <v>11</v>
      </c>
      <c r="H169" s="154">
        <f t="shared" si="50"/>
        <v>7.9978862239830235</v>
      </c>
      <c r="I169" s="154">
        <f t="shared" si="48"/>
        <v>6.1587610034538516</v>
      </c>
      <c r="J169" s="105">
        <f t="shared" si="51"/>
        <v>67.746371037992361</v>
      </c>
      <c r="K169" s="155">
        <f t="shared" si="45"/>
        <v>87.976748463813266</v>
      </c>
      <c r="L169" s="156">
        <f t="shared" si="59"/>
        <v>-20.230377425820905</v>
      </c>
      <c r="M169" s="105">
        <f t="shared" si="52"/>
        <v>-1.4486809739478226</v>
      </c>
      <c r="N169" s="157">
        <f t="shared" si="53"/>
        <v>-21.679058399768728</v>
      </c>
      <c r="O169" s="105">
        <f t="shared" si="54"/>
        <v>0</v>
      </c>
      <c r="P169" s="105">
        <f t="shared" si="55"/>
        <v>0</v>
      </c>
      <c r="Q169" s="105">
        <v>0</v>
      </c>
      <c r="R169" s="157">
        <f t="shared" si="56"/>
        <v>-21.679058399768728</v>
      </c>
    </row>
    <row r="170" spans="1:18" x14ac:dyDescent="0.2">
      <c r="A170" s="87">
        <v>7</v>
      </c>
      <c r="B170" s="151">
        <f t="shared" si="49"/>
        <v>45839</v>
      </c>
      <c r="C170" s="167">
        <f t="shared" si="57"/>
        <v>45874</v>
      </c>
      <c r="D170" s="167">
        <f t="shared" si="57"/>
        <v>45894</v>
      </c>
      <c r="E170" s="175" t="s">
        <v>56</v>
      </c>
      <c r="F170" s="87">
        <v>9</v>
      </c>
      <c r="G170" s="153">
        <v>14</v>
      </c>
      <c r="H170" s="154">
        <f t="shared" si="50"/>
        <v>7.9978862239830235</v>
      </c>
      <c r="I170" s="154">
        <f t="shared" si="48"/>
        <v>6.1587610034538516</v>
      </c>
      <c r="J170" s="105">
        <f t="shared" si="51"/>
        <v>86.222654048353917</v>
      </c>
      <c r="K170" s="155">
        <f t="shared" si="45"/>
        <v>111.97040713576233</v>
      </c>
      <c r="L170" s="156">
        <f t="shared" si="59"/>
        <v>-25.747753087408412</v>
      </c>
      <c r="M170" s="105">
        <f t="shared" si="52"/>
        <v>-1.8437757850245013</v>
      </c>
      <c r="N170" s="157">
        <f t="shared" si="53"/>
        <v>-27.591528872432914</v>
      </c>
      <c r="O170" s="105">
        <f t="shared" si="54"/>
        <v>0</v>
      </c>
      <c r="P170" s="105">
        <f t="shared" si="55"/>
        <v>0</v>
      </c>
      <c r="Q170" s="105">
        <v>0</v>
      </c>
      <c r="R170" s="157">
        <f t="shared" si="56"/>
        <v>-27.591528872432914</v>
      </c>
    </row>
    <row r="171" spans="1:18" x14ac:dyDescent="0.2">
      <c r="A171" s="87">
        <v>8</v>
      </c>
      <c r="B171" s="151">
        <f t="shared" si="49"/>
        <v>45870</v>
      </c>
      <c r="C171" s="167">
        <f t="shared" si="57"/>
        <v>45904</v>
      </c>
      <c r="D171" s="167">
        <f t="shared" si="57"/>
        <v>45924</v>
      </c>
      <c r="E171" s="175" t="s">
        <v>56</v>
      </c>
      <c r="F171" s="87">
        <v>9</v>
      </c>
      <c r="G171" s="153">
        <v>11</v>
      </c>
      <c r="H171" s="154">
        <f t="shared" si="50"/>
        <v>7.9978862239830235</v>
      </c>
      <c r="I171" s="154">
        <f t="shared" si="48"/>
        <v>6.1587610034538516</v>
      </c>
      <c r="J171" s="105">
        <f t="shared" si="51"/>
        <v>67.746371037992361</v>
      </c>
      <c r="K171" s="155">
        <f t="shared" si="45"/>
        <v>87.976748463813266</v>
      </c>
      <c r="L171" s="156">
        <f t="shared" si="59"/>
        <v>-20.230377425820905</v>
      </c>
      <c r="M171" s="105">
        <f t="shared" si="52"/>
        <v>-1.4486809739478226</v>
      </c>
      <c r="N171" s="157">
        <f t="shared" si="53"/>
        <v>-21.679058399768728</v>
      </c>
      <c r="O171" s="105">
        <f t="shared" si="54"/>
        <v>0</v>
      </c>
      <c r="P171" s="105">
        <f t="shared" si="55"/>
        <v>0</v>
      </c>
      <c r="Q171" s="105">
        <v>0</v>
      </c>
      <c r="R171" s="157">
        <f t="shared" si="56"/>
        <v>-21.679058399768728</v>
      </c>
    </row>
    <row r="172" spans="1:18" x14ac:dyDescent="0.2">
      <c r="A172" s="87">
        <v>9</v>
      </c>
      <c r="B172" s="151">
        <f t="shared" si="49"/>
        <v>45901</v>
      </c>
      <c r="C172" s="167">
        <f t="shared" ref="C172:D175" si="60">+C160</f>
        <v>45933</v>
      </c>
      <c r="D172" s="167">
        <f t="shared" si="60"/>
        <v>45954</v>
      </c>
      <c r="E172" s="175" t="s">
        <v>56</v>
      </c>
      <c r="F172" s="87">
        <v>9</v>
      </c>
      <c r="G172" s="153">
        <v>12</v>
      </c>
      <c r="H172" s="154">
        <f t="shared" si="50"/>
        <v>7.9978862239830235</v>
      </c>
      <c r="I172" s="154">
        <f t="shared" si="48"/>
        <v>6.1587610034538516</v>
      </c>
      <c r="J172" s="105">
        <f t="shared" si="51"/>
        <v>73.905132041446223</v>
      </c>
      <c r="K172" s="155">
        <f t="shared" si="45"/>
        <v>95.974634687796282</v>
      </c>
      <c r="L172" s="156">
        <f t="shared" si="59"/>
        <v>-22.06950264635006</v>
      </c>
      <c r="M172" s="105">
        <f t="shared" si="52"/>
        <v>-1.5803792443067157</v>
      </c>
      <c r="N172" s="157">
        <f t="shared" si="53"/>
        <v>-23.649881890656776</v>
      </c>
      <c r="O172" s="105">
        <f t="shared" si="54"/>
        <v>0</v>
      </c>
      <c r="P172" s="105">
        <f t="shared" si="55"/>
        <v>0</v>
      </c>
      <c r="Q172" s="105">
        <v>0</v>
      </c>
      <c r="R172" s="157">
        <f t="shared" si="56"/>
        <v>-23.649881890656776</v>
      </c>
    </row>
    <row r="173" spans="1:18" x14ac:dyDescent="0.2">
      <c r="A173" s="87">
        <v>10</v>
      </c>
      <c r="B173" s="151">
        <f t="shared" si="49"/>
        <v>45931</v>
      </c>
      <c r="C173" s="167">
        <f t="shared" si="60"/>
        <v>45966</v>
      </c>
      <c r="D173" s="167">
        <f t="shared" si="60"/>
        <v>45985</v>
      </c>
      <c r="E173" s="175" t="s">
        <v>56</v>
      </c>
      <c r="F173" s="87">
        <v>9</v>
      </c>
      <c r="G173" s="153">
        <v>13</v>
      </c>
      <c r="H173" s="154">
        <f t="shared" si="50"/>
        <v>7.9978862239830235</v>
      </c>
      <c r="I173" s="154">
        <f t="shared" si="48"/>
        <v>6.1587610034538516</v>
      </c>
      <c r="J173" s="105">
        <f t="shared" si="51"/>
        <v>80.06389304490007</v>
      </c>
      <c r="K173" s="155">
        <f t="shared" si="45"/>
        <v>103.9725209117793</v>
      </c>
      <c r="L173" s="156">
        <f t="shared" si="59"/>
        <v>-23.908627866879229</v>
      </c>
      <c r="M173" s="105">
        <f t="shared" si="52"/>
        <v>-1.7120775146656084</v>
      </c>
      <c r="N173" s="157">
        <f t="shared" si="53"/>
        <v>-25.620705381544838</v>
      </c>
      <c r="O173" s="105">
        <f t="shared" si="54"/>
        <v>0</v>
      </c>
      <c r="P173" s="105">
        <f t="shared" si="55"/>
        <v>0</v>
      </c>
      <c r="Q173" s="105">
        <v>0</v>
      </c>
      <c r="R173" s="157">
        <f t="shared" si="56"/>
        <v>-25.620705381544838</v>
      </c>
    </row>
    <row r="174" spans="1:18" x14ac:dyDescent="0.2">
      <c r="A174" s="87">
        <v>11</v>
      </c>
      <c r="B174" s="151">
        <f t="shared" si="49"/>
        <v>45962</v>
      </c>
      <c r="C174" s="167">
        <f t="shared" si="60"/>
        <v>45994</v>
      </c>
      <c r="D174" s="167">
        <f t="shared" si="60"/>
        <v>46015</v>
      </c>
      <c r="E174" s="175" t="s">
        <v>56</v>
      </c>
      <c r="F174" s="87">
        <v>9</v>
      </c>
      <c r="G174" s="153">
        <v>10</v>
      </c>
      <c r="H174" s="154">
        <f t="shared" si="50"/>
        <v>7.9978862239830235</v>
      </c>
      <c r="I174" s="154">
        <f t="shared" si="48"/>
        <v>6.1587610034538516</v>
      </c>
      <c r="J174" s="105">
        <f t="shared" si="51"/>
        <v>61.587610034538514</v>
      </c>
      <c r="K174" s="155">
        <f t="shared" si="45"/>
        <v>79.978862239830235</v>
      </c>
      <c r="L174" s="156">
        <f t="shared" si="59"/>
        <v>-18.391252205291721</v>
      </c>
      <c r="M174" s="105">
        <f t="shared" si="52"/>
        <v>-1.3169827035889294</v>
      </c>
      <c r="N174" s="157">
        <f t="shared" si="53"/>
        <v>-19.708234908880652</v>
      </c>
      <c r="O174" s="105">
        <f t="shared" si="54"/>
        <v>0</v>
      </c>
      <c r="P174" s="105">
        <f t="shared" si="55"/>
        <v>0</v>
      </c>
      <c r="Q174" s="105">
        <v>0</v>
      </c>
      <c r="R174" s="157">
        <f t="shared" si="56"/>
        <v>-19.708234908880652</v>
      </c>
    </row>
    <row r="175" spans="1:18" s="171" customFormat="1" x14ac:dyDescent="0.2">
      <c r="A175" s="87">
        <v>12</v>
      </c>
      <c r="B175" s="169">
        <f t="shared" si="49"/>
        <v>45992</v>
      </c>
      <c r="C175" s="167">
        <f t="shared" si="60"/>
        <v>46028</v>
      </c>
      <c r="D175" s="167">
        <f t="shared" si="60"/>
        <v>46048</v>
      </c>
      <c r="E175" s="176" t="s">
        <v>56</v>
      </c>
      <c r="F175" s="128">
        <v>9</v>
      </c>
      <c r="G175" s="191">
        <v>7</v>
      </c>
      <c r="H175" s="159">
        <f t="shared" si="50"/>
        <v>7.9978862239830235</v>
      </c>
      <c r="I175" s="159">
        <f t="shared" si="48"/>
        <v>6.1587610034538516</v>
      </c>
      <c r="J175" s="160">
        <f t="shared" si="51"/>
        <v>43.111327024176958</v>
      </c>
      <c r="K175" s="161">
        <f t="shared" si="45"/>
        <v>55.985203567881165</v>
      </c>
      <c r="L175" s="162">
        <f t="shared" si="59"/>
        <v>-12.873876543704206</v>
      </c>
      <c r="M175" s="160">
        <f t="shared" si="52"/>
        <v>-0.92188789251225067</v>
      </c>
      <c r="N175" s="192">
        <f t="shared" si="53"/>
        <v>-13.795764436216457</v>
      </c>
      <c r="O175" s="160">
        <f t="shared" si="54"/>
        <v>0</v>
      </c>
      <c r="P175" s="160">
        <f t="shared" si="55"/>
        <v>0</v>
      </c>
      <c r="Q175" s="160">
        <v>0</v>
      </c>
      <c r="R175" s="192">
        <f t="shared" si="56"/>
        <v>-13.795764436216457</v>
      </c>
    </row>
    <row r="176" spans="1:18" x14ac:dyDescent="0.2">
      <c r="A176" s="87">
        <v>1</v>
      </c>
      <c r="B176" s="151">
        <f t="shared" si="49"/>
        <v>45658</v>
      </c>
      <c r="C176" s="164">
        <f t="shared" ref="C176:D187" si="61">+C152</f>
        <v>45693</v>
      </c>
      <c r="D176" s="164">
        <f t="shared" si="61"/>
        <v>45712</v>
      </c>
      <c r="E176" s="174" t="s">
        <v>57</v>
      </c>
      <c r="F176" s="87">
        <v>9</v>
      </c>
      <c r="G176" s="153">
        <v>0</v>
      </c>
      <c r="H176" s="154">
        <f t="shared" si="50"/>
        <v>7.9978862239830235</v>
      </c>
      <c r="I176" s="154">
        <f t="shared" si="48"/>
        <v>6.1587610034538516</v>
      </c>
      <c r="J176" s="105">
        <f t="shared" si="51"/>
        <v>0</v>
      </c>
      <c r="K176" s="155">
        <f t="shared" si="45"/>
        <v>0</v>
      </c>
      <c r="L176" s="156">
        <f t="shared" si="59"/>
        <v>0</v>
      </c>
      <c r="M176" s="105">
        <f t="shared" si="52"/>
        <v>0</v>
      </c>
      <c r="N176" s="157">
        <f t="shared" si="53"/>
        <v>0</v>
      </c>
      <c r="O176" s="105">
        <f t="shared" si="54"/>
        <v>0</v>
      </c>
      <c r="P176" s="105">
        <f t="shared" si="55"/>
        <v>0</v>
      </c>
      <c r="Q176" s="105">
        <v>0</v>
      </c>
      <c r="R176" s="157">
        <f t="shared" si="56"/>
        <v>0</v>
      </c>
    </row>
    <row r="177" spans="1:18" x14ac:dyDescent="0.2">
      <c r="A177" s="87">
        <v>2</v>
      </c>
      <c r="B177" s="151">
        <f t="shared" si="49"/>
        <v>45689</v>
      </c>
      <c r="C177" s="167">
        <f t="shared" si="61"/>
        <v>45721</v>
      </c>
      <c r="D177" s="167">
        <f t="shared" si="61"/>
        <v>45740</v>
      </c>
      <c r="E177" s="1" t="s">
        <v>57</v>
      </c>
      <c r="F177" s="87">
        <v>9</v>
      </c>
      <c r="G177" s="153">
        <v>0</v>
      </c>
      <c r="H177" s="154">
        <f t="shared" si="50"/>
        <v>7.9978862239830235</v>
      </c>
      <c r="I177" s="154">
        <f t="shared" si="48"/>
        <v>6.1587610034538516</v>
      </c>
      <c r="J177" s="105">
        <f t="shared" si="51"/>
        <v>0</v>
      </c>
      <c r="K177" s="155">
        <f t="shared" si="45"/>
        <v>0</v>
      </c>
      <c r="L177" s="156">
        <f t="shared" si="59"/>
        <v>0</v>
      </c>
      <c r="M177" s="105">
        <f t="shared" si="52"/>
        <v>0</v>
      </c>
      <c r="N177" s="157">
        <f t="shared" si="53"/>
        <v>0</v>
      </c>
      <c r="O177" s="105">
        <f t="shared" si="54"/>
        <v>0</v>
      </c>
      <c r="P177" s="105">
        <f t="shared" si="55"/>
        <v>0</v>
      </c>
      <c r="Q177" s="105">
        <v>0</v>
      </c>
      <c r="R177" s="157">
        <f t="shared" si="56"/>
        <v>0</v>
      </c>
    </row>
    <row r="178" spans="1:18" x14ac:dyDescent="0.2">
      <c r="A178" s="87">
        <v>3</v>
      </c>
      <c r="B178" s="151">
        <f t="shared" si="49"/>
        <v>45717</v>
      </c>
      <c r="C178" s="167">
        <f t="shared" si="61"/>
        <v>45750</v>
      </c>
      <c r="D178" s="167">
        <f t="shared" si="61"/>
        <v>45771</v>
      </c>
      <c r="E178" s="1" t="s">
        <v>57</v>
      </c>
      <c r="F178" s="87">
        <v>9</v>
      </c>
      <c r="G178" s="153">
        <v>0</v>
      </c>
      <c r="H178" s="154">
        <f t="shared" si="50"/>
        <v>7.9978862239830235</v>
      </c>
      <c r="I178" s="154">
        <f t="shared" si="48"/>
        <v>6.1587610034538516</v>
      </c>
      <c r="J178" s="105">
        <f t="shared" si="51"/>
        <v>0</v>
      </c>
      <c r="K178" s="155">
        <f t="shared" si="45"/>
        <v>0</v>
      </c>
      <c r="L178" s="156">
        <f>+J178-K178</f>
        <v>0</v>
      </c>
      <c r="M178" s="105">
        <f t="shared" si="52"/>
        <v>0</v>
      </c>
      <c r="N178" s="157">
        <f t="shared" si="53"/>
        <v>0</v>
      </c>
      <c r="O178" s="105">
        <f t="shared" si="54"/>
        <v>0</v>
      </c>
      <c r="P178" s="105">
        <f t="shared" si="55"/>
        <v>0</v>
      </c>
      <c r="Q178" s="105">
        <v>0</v>
      </c>
      <c r="R178" s="157">
        <f t="shared" si="56"/>
        <v>0</v>
      </c>
    </row>
    <row r="179" spans="1:18" x14ac:dyDescent="0.2">
      <c r="A179" s="87">
        <v>4</v>
      </c>
      <c r="B179" s="151">
        <f t="shared" si="49"/>
        <v>45748</v>
      </c>
      <c r="C179" s="167">
        <f t="shared" si="61"/>
        <v>45782</v>
      </c>
      <c r="D179" s="167">
        <f t="shared" si="61"/>
        <v>45803</v>
      </c>
      <c r="E179" s="1" t="s">
        <v>57</v>
      </c>
      <c r="F179" s="87">
        <v>9</v>
      </c>
      <c r="G179" s="153">
        <v>0</v>
      </c>
      <c r="H179" s="154">
        <f t="shared" si="50"/>
        <v>7.9978862239830235</v>
      </c>
      <c r="I179" s="154">
        <f t="shared" si="48"/>
        <v>6.1587610034538516</v>
      </c>
      <c r="J179" s="105">
        <f t="shared" si="51"/>
        <v>0</v>
      </c>
      <c r="K179" s="155">
        <f t="shared" si="45"/>
        <v>0</v>
      </c>
      <c r="L179" s="156">
        <f t="shared" ref="L179:L189" si="62">+J179-K179</f>
        <v>0</v>
      </c>
      <c r="M179" s="105">
        <f t="shared" si="52"/>
        <v>0</v>
      </c>
      <c r="N179" s="157">
        <f t="shared" si="53"/>
        <v>0</v>
      </c>
      <c r="O179" s="105">
        <f t="shared" si="54"/>
        <v>0</v>
      </c>
      <c r="P179" s="105">
        <f t="shared" si="55"/>
        <v>0</v>
      </c>
      <c r="Q179" s="105">
        <v>0</v>
      </c>
      <c r="R179" s="157">
        <f t="shared" si="56"/>
        <v>0</v>
      </c>
    </row>
    <row r="180" spans="1:18" x14ac:dyDescent="0.2">
      <c r="A180" s="87">
        <v>5</v>
      </c>
      <c r="B180" s="151">
        <f t="shared" si="49"/>
        <v>45778</v>
      </c>
      <c r="C180" s="167">
        <f t="shared" si="61"/>
        <v>45812</v>
      </c>
      <c r="D180" s="167">
        <f t="shared" si="61"/>
        <v>45832</v>
      </c>
      <c r="E180" s="1" t="s">
        <v>57</v>
      </c>
      <c r="F180" s="87">
        <v>9</v>
      </c>
      <c r="G180" s="153">
        <v>0</v>
      </c>
      <c r="H180" s="154">
        <f t="shared" si="50"/>
        <v>7.9978862239830235</v>
      </c>
      <c r="I180" s="154">
        <f t="shared" ref="I180:I211" si="63">$J$3</f>
        <v>6.1587610034538516</v>
      </c>
      <c r="J180" s="105">
        <f t="shared" si="51"/>
        <v>0</v>
      </c>
      <c r="K180" s="155">
        <f t="shared" si="45"/>
        <v>0</v>
      </c>
      <c r="L180" s="156">
        <f t="shared" si="62"/>
        <v>0</v>
      </c>
      <c r="M180" s="105">
        <f t="shared" si="52"/>
        <v>0</v>
      </c>
      <c r="N180" s="157">
        <f t="shared" si="53"/>
        <v>0</v>
      </c>
      <c r="O180" s="105">
        <f t="shared" si="54"/>
        <v>0</v>
      </c>
      <c r="P180" s="105">
        <f t="shared" si="55"/>
        <v>0</v>
      </c>
      <c r="Q180" s="105">
        <v>0</v>
      </c>
      <c r="R180" s="157">
        <f t="shared" si="56"/>
        <v>0</v>
      </c>
    </row>
    <row r="181" spans="1:18" x14ac:dyDescent="0.2">
      <c r="A181" s="87">
        <v>6</v>
      </c>
      <c r="B181" s="151">
        <f t="shared" si="49"/>
        <v>45809</v>
      </c>
      <c r="C181" s="167">
        <f t="shared" si="61"/>
        <v>45841</v>
      </c>
      <c r="D181" s="167">
        <f t="shared" si="61"/>
        <v>45862</v>
      </c>
      <c r="E181" s="1" t="s">
        <v>57</v>
      </c>
      <c r="F181" s="87">
        <v>9</v>
      </c>
      <c r="G181" s="153">
        <v>0</v>
      </c>
      <c r="H181" s="154">
        <f t="shared" si="50"/>
        <v>7.9978862239830235</v>
      </c>
      <c r="I181" s="154">
        <f t="shared" si="63"/>
        <v>6.1587610034538516</v>
      </c>
      <c r="J181" s="105">
        <f t="shared" si="51"/>
        <v>0</v>
      </c>
      <c r="K181" s="155">
        <f t="shared" si="45"/>
        <v>0</v>
      </c>
      <c r="L181" s="156">
        <f t="shared" si="62"/>
        <v>0</v>
      </c>
      <c r="M181" s="105">
        <f t="shared" si="52"/>
        <v>0</v>
      </c>
      <c r="N181" s="157">
        <f t="shared" si="53"/>
        <v>0</v>
      </c>
      <c r="O181" s="105">
        <f t="shared" si="54"/>
        <v>0</v>
      </c>
      <c r="P181" s="105">
        <f t="shared" si="55"/>
        <v>0</v>
      </c>
      <c r="Q181" s="105">
        <v>0</v>
      </c>
      <c r="R181" s="157">
        <f t="shared" si="56"/>
        <v>0</v>
      </c>
    </row>
    <row r="182" spans="1:18" x14ac:dyDescent="0.2">
      <c r="A182" s="87">
        <v>7</v>
      </c>
      <c r="B182" s="151">
        <f t="shared" si="49"/>
        <v>45839</v>
      </c>
      <c r="C182" s="167">
        <f t="shared" si="61"/>
        <v>45874</v>
      </c>
      <c r="D182" s="167">
        <f t="shared" si="61"/>
        <v>45894</v>
      </c>
      <c r="E182" s="1" t="s">
        <v>57</v>
      </c>
      <c r="F182" s="87">
        <v>9</v>
      </c>
      <c r="G182" s="153">
        <v>0</v>
      </c>
      <c r="H182" s="154">
        <f t="shared" si="50"/>
        <v>7.9978862239830235</v>
      </c>
      <c r="I182" s="154">
        <f t="shared" si="63"/>
        <v>6.1587610034538516</v>
      </c>
      <c r="J182" s="105">
        <f t="shared" si="51"/>
        <v>0</v>
      </c>
      <c r="K182" s="155">
        <f t="shared" si="45"/>
        <v>0</v>
      </c>
      <c r="L182" s="156">
        <f t="shared" si="62"/>
        <v>0</v>
      </c>
      <c r="M182" s="105">
        <f t="shared" si="52"/>
        <v>0</v>
      </c>
      <c r="N182" s="157">
        <f t="shared" si="53"/>
        <v>0</v>
      </c>
      <c r="O182" s="105">
        <f t="shared" si="54"/>
        <v>0</v>
      </c>
      <c r="P182" s="105">
        <f t="shared" si="55"/>
        <v>0</v>
      </c>
      <c r="Q182" s="105">
        <v>0</v>
      </c>
      <c r="R182" s="157">
        <f t="shared" si="56"/>
        <v>0</v>
      </c>
    </row>
    <row r="183" spans="1:18" x14ac:dyDescent="0.2">
      <c r="A183" s="87">
        <v>8</v>
      </c>
      <c r="B183" s="151">
        <f t="shared" si="49"/>
        <v>45870</v>
      </c>
      <c r="C183" s="167">
        <f t="shared" si="61"/>
        <v>45904</v>
      </c>
      <c r="D183" s="167">
        <f t="shared" si="61"/>
        <v>45924</v>
      </c>
      <c r="E183" s="1" t="s">
        <v>57</v>
      </c>
      <c r="F183" s="87">
        <v>9</v>
      </c>
      <c r="G183" s="153">
        <v>0</v>
      </c>
      <c r="H183" s="154">
        <f t="shared" si="50"/>
        <v>7.9978862239830235</v>
      </c>
      <c r="I183" s="154">
        <f t="shared" si="63"/>
        <v>6.1587610034538516</v>
      </c>
      <c r="J183" s="105">
        <f t="shared" si="51"/>
        <v>0</v>
      </c>
      <c r="K183" s="155">
        <f t="shared" si="45"/>
        <v>0</v>
      </c>
      <c r="L183" s="156">
        <f t="shared" si="62"/>
        <v>0</v>
      </c>
      <c r="M183" s="105">
        <f t="shared" si="52"/>
        <v>0</v>
      </c>
      <c r="N183" s="157">
        <f t="shared" si="53"/>
        <v>0</v>
      </c>
      <c r="O183" s="105">
        <f t="shared" si="54"/>
        <v>0</v>
      </c>
      <c r="P183" s="105">
        <f t="shared" si="55"/>
        <v>0</v>
      </c>
      <c r="Q183" s="105">
        <v>0</v>
      </c>
      <c r="R183" s="157">
        <f t="shared" si="56"/>
        <v>0</v>
      </c>
    </row>
    <row r="184" spans="1:18" x14ac:dyDescent="0.2">
      <c r="A184" s="87">
        <v>9</v>
      </c>
      <c r="B184" s="151">
        <f t="shared" si="49"/>
        <v>45901</v>
      </c>
      <c r="C184" s="167">
        <f t="shared" si="61"/>
        <v>45933</v>
      </c>
      <c r="D184" s="167">
        <f t="shared" si="61"/>
        <v>45954</v>
      </c>
      <c r="E184" s="1" t="s">
        <v>57</v>
      </c>
      <c r="F184" s="87">
        <v>9</v>
      </c>
      <c r="G184" s="153">
        <v>0</v>
      </c>
      <c r="H184" s="154">
        <f t="shared" si="50"/>
        <v>7.9978862239830235</v>
      </c>
      <c r="I184" s="154">
        <f t="shared" si="63"/>
        <v>6.1587610034538516</v>
      </c>
      <c r="J184" s="105">
        <f t="shared" si="51"/>
        <v>0</v>
      </c>
      <c r="K184" s="155">
        <f t="shared" si="45"/>
        <v>0</v>
      </c>
      <c r="L184" s="156">
        <f t="shared" si="62"/>
        <v>0</v>
      </c>
      <c r="M184" s="105">
        <f t="shared" si="52"/>
        <v>0</v>
      </c>
      <c r="N184" s="157">
        <f t="shared" si="53"/>
        <v>0</v>
      </c>
      <c r="O184" s="105">
        <f t="shared" si="54"/>
        <v>0</v>
      </c>
      <c r="P184" s="105">
        <f t="shared" si="55"/>
        <v>0</v>
      </c>
      <c r="Q184" s="105">
        <v>0</v>
      </c>
      <c r="R184" s="157">
        <f t="shared" si="56"/>
        <v>0</v>
      </c>
    </row>
    <row r="185" spans="1:18" x14ac:dyDescent="0.2">
      <c r="A185" s="87">
        <v>10</v>
      </c>
      <c r="B185" s="151">
        <f t="shared" si="49"/>
        <v>45931</v>
      </c>
      <c r="C185" s="167">
        <f t="shared" si="61"/>
        <v>45966</v>
      </c>
      <c r="D185" s="167">
        <f t="shared" si="61"/>
        <v>45985</v>
      </c>
      <c r="E185" s="1" t="s">
        <v>57</v>
      </c>
      <c r="F185" s="87">
        <v>9</v>
      </c>
      <c r="G185" s="153">
        <v>0</v>
      </c>
      <c r="H185" s="154">
        <f t="shared" si="50"/>
        <v>7.9978862239830235</v>
      </c>
      <c r="I185" s="154">
        <f t="shared" si="63"/>
        <v>6.1587610034538516</v>
      </c>
      <c r="J185" s="105">
        <f t="shared" si="51"/>
        <v>0</v>
      </c>
      <c r="K185" s="155">
        <f t="shared" si="45"/>
        <v>0</v>
      </c>
      <c r="L185" s="156">
        <f t="shared" si="62"/>
        <v>0</v>
      </c>
      <c r="M185" s="105">
        <f t="shared" si="52"/>
        <v>0</v>
      </c>
      <c r="N185" s="157">
        <f t="shared" si="53"/>
        <v>0</v>
      </c>
      <c r="O185" s="105">
        <f t="shared" si="54"/>
        <v>0</v>
      </c>
      <c r="P185" s="105">
        <f t="shared" si="55"/>
        <v>0</v>
      </c>
      <c r="Q185" s="105">
        <v>0</v>
      </c>
      <c r="R185" s="157">
        <f t="shared" si="56"/>
        <v>0</v>
      </c>
    </row>
    <row r="186" spans="1:18" x14ac:dyDescent="0.2">
      <c r="A186" s="87">
        <v>11</v>
      </c>
      <c r="B186" s="151">
        <f t="shared" si="49"/>
        <v>45962</v>
      </c>
      <c r="C186" s="167">
        <f t="shared" si="61"/>
        <v>45994</v>
      </c>
      <c r="D186" s="167">
        <f t="shared" si="61"/>
        <v>46015</v>
      </c>
      <c r="E186" s="1" t="s">
        <v>57</v>
      </c>
      <c r="F186" s="87">
        <v>9</v>
      </c>
      <c r="G186" s="153">
        <v>0</v>
      </c>
      <c r="H186" s="154">
        <f t="shared" si="50"/>
        <v>7.9978862239830235</v>
      </c>
      <c r="I186" s="154">
        <f t="shared" si="63"/>
        <v>6.1587610034538516</v>
      </c>
      <c r="J186" s="105">
        <f t="shared" si="51"/>
        <v>0</v>
      </c>
      <c r="K186" s="155">
        <f t="shared" si="45"/>
        <v>0</v>
      </c>
      <c r="L186" s="156">
        <f t="shared" si="62"/>
        <v>0</v>
      </c>
      <c r="M186" s="105">
        <f t="shared" si="52"/>
        <v>0</v>
      </c>
      <c r="N186" s="157">
        <f t="shared" si="53"/>
        <v>0</v>
      </c>
      <c r="O186" s="105">
        <f t="shared" si="54"/>
        <v>0</v>
      </c>
      <c r="P186" s="105">
        <f t="shared" si="55"/>
        <v>0</v>
      </c>
      <c r="Q186" s="105">
        <v>0</v>
      </c>
      <c r="R186" s="157">
        <f t="shared" si="56"/>
        <v>0</v>
      </c>
    </row>
    <row r="187" spans="1:18" s="171" customFormat="1" x14ac:dyDescent="0.2">
      <c r="A187" s="87">
        <v>12</v>
      </c>
      <c r="B187" s="169">
        <f t="shared" si="49"/>
        <v>45992</v>
      </c>
      <c r="C187" s="167">
        <f t="shared" si="61"/>
        <v>46028</v>
      </c>
      <c r="D187" s="167">
        <f t="shared" si="61"/>
        <v>46048</v>
      </c>
      <c r="E187" s="170" t="s">
        <v>57</v>
      </c>
      <c r="F187" s="128">
        <v>9</v>
      </c>
      <c r="G187" s="191">
        <v>0</v>
      </c>
      <c r="H187" s="159">
        <f t="shared" si="50"/>
        <v>7.9978862239830235</v>
      </c>
      <c r="I187" s="159">
        <f t="shared" si="63"/>
        <v>6.1587610034538516</v>
      </c>
      <c r="J187" s="160">
        <f t="shared" si="51"/>
        <v>0</v>
      </c>
      <c r="K187" s="161">
        <f t="shared" si="45"/>
        <v>0</v>
      </c>
      <c r="L187" s="162">
        <f t="shared" si="62"/>
        <v>0</v>
      </c>
      <c r="M187" s="160">
        <f t="shared" si="52"/>
        <v>0</v>
      </c>
      <c r="N187" s="192">
        <f t="shared" si="53"/>
        <v>0</v>
      </c>
      <c r="O187" s="160">
        <f t="shared" si="54"/>
        <v>0</v>
      </c>
      <c r="P187" s="160">
        <f t="shared" si="55"/>
        <v>0</v>
      </c>
      <c r="Q187" s="160">
        <v>0</v>
      </c>
      <c r="R187" s="192">
        <f t="shared" si="56"/>
        <v>0</v>
      </c>
    </row>
    <row r="188" spans="1:18" x14ac:dyDescent="0.2">
      <c r="A188" s="87">
        <v>1</v>
      </c>
      <c r="B188" s="151">
        <f t="shared" si="49"/>
        <v>45658</v>
      </c>
      <c r="C188" s="164">
        <f t="shared" ref="C188:D211" si="64">+C176</f>
        <v>45693</v>
      </c>
      <c r="D188" s="164">
        <f t="shared" si="64"/>
        <v>45712</v>
      </c>
      <c r="E188" s="152" t="s">
        <v>58</v>
      </c>
      <c r="F188" s="87">
        <v>9</v>
      </c>
      <c r="G188" s="153">
        <v>37</v>
      </c>
      <c r="H188" s="154">
        <f t="shared" si="50"/>
        <v>7.9978862239830235</v>
      </c>
      <c r="I188" s="154">
        <f t="shared" si="63"/>
        <v>6.1587610034538516</v>
      </c>
      <c r="J188" s="105">
        <f t="shared" si="51"/>
        <v>227.8741571277925</v>
      </c>
      <c r="K188" s="155">
        <f t="shared" si="45"/>
        <v>295.92179028737189</v>
      </c>
      <c r="L188" s="156">
        <f t="shared" si="62"/>
        <v>-68.047633159579391</v>
      </c>
      <c r="M188" s="105">
        <f t="shared" si="52"/>
        <v>-4.8728360032790397</v>
      </c>
      <c r="N188" s="157">
        <f t="shared" si="53"/>
        <v>-72.920469162858424</v>
      </c>
      <c r="O188" s="105">
        <f t="shared" si="54"/>
        <v>0</v>
      </c>
      <c r="P188" s="105">
        <f t="shared" si="55"/>
        <v>0</v>
      </c>
      <c r="Q188" s="105">
        <v>0</v>
      </c>
      <c r="R188" s="157">
        <f t="shared" si="56"/>
        <v>-72.920469162858424</v>
      </c>
    </row>
    <row r="189" spans="1:18" x14ac:dyDescent="0.2">
      <c r="A189" s="87">
        <v>2</v>
      </c>
      <c r="B189" s="151">
        <f t="shared" si="49"/>
        <v>45689</v>
      </c>
      <c r="C189" s="167">
        <f t="shared" si="64"/>
        <v>45721</v>
      </c>
      <c r="D189" s="167">
        <f t="shared" si="64"/>
        <v>45740</v>
      </c>
      <c r="E189" s="158" t="s">
        <v>58</v>
      </c>
      <c r="F189" s="87">
        <v>9</v>
      </c>
      <c r="G189" s="153">
        <v>42</v>
      </c>
      <c r="H189" s="154">
        <f t="shared" si="50"/>
        <v>7.9978862239830235</v>
      </c>
      <c r="I189" s="154">
        <f t="shared" si="63"/>
        <v>6.1587610034538516</v>
      </c>
      <c r="J189" s="105">
        <f t="shared" si="51"/>
        <v>258.66796214506178</v>
      </c>
      <c r="K189" s="155">
        <f t="shared" si="45"/>
        <v>335.91122140728697</v>
      </c>
      <c r="L189" s="156">
        <f t="shared" si="62"/>
        <v>-77.243259262225195</v>
      </c>
      <c r="M189" s="105">
        <f t="shared" si="52"/>
        <v>-5.531327355073504</v>
      </c>
      <c r="N189" s="157">
        <f t="shared" si="53"/>
        <v>-82.774586617298695</v>
      </c>
      <c r="O189" s="105">
        <f t="shared" si="54"/>
        <v>0</v>
      </c>
      <c r="P189" s="105">
        <f t="shared" si="55"/>
        <v>0</v>
      </c>
      <c r="Q189" s="105">
        <v>0</v>
      </c>
      <c r="R189" s="157">
        <f t="shared" si="56"/>
        <v>-82.774586617298695</v>
      </c>
    </row>
    <row r="190" spans="1:18" x14ac:dyDescent="0.2">
      <c r="A190" s="87">
        <v>3</v>
      </c>
      <c r="B190" s="151">
        <f t="shared" si="49"/>
        <v>45717</v>
      </c>
      <c r="C190" s="167">
        <f t="shared" si="64"/>
        <v>45750</v>
      </c>
      <c r="D190" s="167">
        <f t="shared" si="64"/>
        <v>45771</v>
      </c>
      <c r="E190" s="158" t="s">
        <v>58</v>
      </c>
      <c r="F190" s="87">
        <v>9</v>
      </c>
      <c r="G190" s="153">
        <v>30</v>
      </c>
      <c r="H190" s="154">
        <f t="shared" si="50"/>
        <v>7.9978862239830235</v>
      </c>
      <c r="I190" s="154">
        <f t="shared" si="63"/>
        <v>6.1587610034538516</v>
      </c>
      <c r="J190" s="105">
        <f t="shared" si="51"/>
        <v>184.76283010361556</v>
      </c>
      <c r="K190" s="155">
        <f t="shared" si="45"/>
        <v>239.93658671949072</v>
      </c>
      <c r="L190" s="156">
        <f>+J190-K190</f>
        <v>-55.173756615875163</v>
      </c>
      <c r="M190" s="105">
        <f t="shared" si="52"/>
        <v>-3.9509481107667885</v>
      </c>
      <c r="N190" s="157">
        <f t="shared" si="53"/>
        <v>-59.124704726641951</v>
      </c>
      <c r="O190" s="105">
        <f t="shared" si="54"/>
        <v>0</v>
      </c>
      <c r="P190" s="105">
        <f t="shared" si="55"/>
        <v>0</v>
      </c>
      <c r="Q190" s="105">
        <v>0</v>
      </c>
      <c r="R190" s="157">
        <f t="shared" si="56"/>
        <v>-59.124704726641951</v>
      </c>
    </row>
    <row r="191" spans="1:18" x14ac:dyDescent="0.2">
      <c r="A191" s="87">
        <v>4</v>
      </c>
      <c r="B191" s="151">
        <f t="shared" si="49"/>
        <v>45748</v>
      </c>
      <c r="C191" s="167">
        <f t="shared" si="64"/>
        <v>45782</v>
      </c>
      <c r="D191" s="167">
        <f t="shared" si="64"/>
        <v>45803</v>
      </c>
      <c r="E191" s="1" t="s">
        <v>58</v>
      </c>
      <c r="F191" s="87">
        <v>9</v>
      </c>
      <c r="G191" s="153">
        <v>32</v>
      </c>
      <c r="H191" s="154">
        <f t="shared" si="50"/>
        <v>7.9978862239830235</v>
      </c>
      <c r="I191" s="154">
        <f t="shared" si="63"/>
        <v>6.1587610034538516</v>
      </c>
      <c r="J191" s="105">
        <f t="shared" si="51"/>
        <v>197.08035211052325</v>
      </c>
      <c r="K191" s="155">
        <f t="shared" si="45"/>
        <v>255.93235916745675</v>
      </c>
      <c r="L191" s="156">
        <f t="shared" ref="L191:L201" si="65">+J191-K191</f>
        <v>-58.852007056933502</v>
      </c>
      <c r="M191" s="105">
        <f t="shared" si="52"/>
        <v>-4.2143446514845744</v>
      </c>
      <c r="N191" s="157">
        <f t="shared" si="53"/>
        <v>-63.066351708418075</v>
      </c>
      <c r="O191" s="105">
        <f t="shared" si="54"/>
        <v>0</v>
      </c>
      <c r="P191" s="105">
        <f t="shared" si="55"/>
        <v>0</v>
      </c>
      <c r="Q191" s="105">
        <v>0</v>
      </c>
      <c r="R191" s="157">
        <f t="shared" si="56"/>
        <v>-63.066351708418075</v>
      </c>
    </row>
    <row r="192" spans="1:18" x14ac:dyDescent="0.2">
      <c r="A192" s="87">
        <v>5</v>
      </c>
      <c r="B192" s="151">
        <f t="shared" si="49"/>
        <v>45778</v>
      </c>
      <c r="C192" s="167">
        <f t="shared" si="64"/>
        <v>45812</v>
      </c>
      <c r="D192" s="167">
        <f t="shared" si="64"/>
        <v>45832</v>
      </c>
      <c r="E192" s="1" t="s">
        <v>58</v>
      </c>
      <c r="F192" s="87">
        <v>9</v>
      </c>
      <c r="G192" s="153">
        <v>39</v>
      </c>
      <c r="H192" s="154">
        <f t="shared" si="50"/>
        <v>7.9978862239830235</v>
      </c>
      <c r="I192" s="154">
        <f t="shared" si="63"/>
        <v>6.1587610034538516</v>
      </c>
      <c r="J192" s="105">
        <f t="shared" si="51"/>
        <v>240.19167913470022</v>
      </c>
      <c r="K192" s="155">
        <f t="shared" si="45"/>
        <v>311.91756273533792</v>
      </c>
      <c r="L192" s="156">
        <f t="shared" si="65"/>
        <v>-71.725883600637701</v>
      </c>
      <c r="M192" s="105">
        <f t="shared" si="52"/>
        <v>-5.1362325439968259</v>
      </c>
      <c r="N192" s="157">
        <f t="shared" si="53"/>
        <v>-76.862116144634527</v>
      </c>
      <c r="O192" s="105">
        <f t="shared" si="54"/>
        <v>0</v>
      </c>
      <c r="P192" s="105">
        <f t="shared" si="55"/>
        <v>0</v>
      </c>
      <c r="Q192" s="105">
        <v>0</v>
      </c>
      <c r="R192" s="157">
        <f t="shared" si="56"/>
        <v>-76.862116144634527</v>
      </c>
    </row>
    <row r="193" spans="1:18" x14ac:dyDescent="0.2">
      <c r="A193" s="87">
        <v>6</v>
      </c>
      <c r="B193" s="151">
        <f t="shared" si="49"/>
        <v>45809</v>
      </c>
      <c r="C193" s="167">
        <f t="shared" si="64"/>
        <v>45841</v>
      </c>
      <c r="D193" s="167">
        <f t="shared" si="64"/>
        <v>45862</v>
      </c>
      <c r="E193" s="1" t="s">
        <v>58</v>
      </c>
      <c r="F193" s="87">
        <v>9</v>
      </c>
      <c r="G193" s="153">
        <v>47</v>
      </c>
      <c r="H193" s="154">
        <f t="shared" si="50"/>
        <v>7.9978862239830235</v>
      </c>
      <c r="I193" s="154">
        <f t="shared" si="63"/>
        <v>6.1587610034538516</v>
      </c>
      <c r="J193" s="105">
        <f t="shared" si="51"/>
        <v>289.461767162331</v>
      </c>
      <c r="K193" s="155">
        <f t="shared" si="45"/>
        <v>375.90065252720211</v>
      </c>
      <c r="L193" s="156">
        <f t="shared" si="65"/>
        <v>-86.438885364871112</v>
      </c>
      <c r="M193" s="105">
        <f t="shared" si="52"/>
        <v>-6.1898187068679693</v>
      </c>
      <c r="N193" s="157">
        <f t="shared" si="53"/>
        <v>-92.628704071739079</v>
      </c>
      <c r="O193" s="105">
        <f t="shared" si="54"/>
        <v>0</v>
      </c>
      <c r="P193" s="105">
        <f t="shared" si="55"/>
        <v>0</v>
      </c>
      <c r="Q193" s="105">
        <v>0</v>
      </c>
      <c r="R193" s="157">
        <f t="shared" si="56"/>
        <v>-92.628704071739079</v>
      </c>
    </row>
    <row r="194" spans="1:18" x14ac:dyDescent="0.2">
      <c r="A194" s="87">
        <v>7</v>
      </c>
      <c r="B194" s="151">
        <f t="shared" si="49"/>
        <v>45839</v>
      </c>
      <c r="C194" s="167">
        <f t="shared" si="64"/>
        <v>45874</v>
      </c>
      <c r="D194" s="167">
        <f t="shared" si="64"/>
        <v>45894</v>
      </c>
      <c r="E194" s="1" t="s">
        <v>58</v>
      </c>
      <c r="F194" s="87">
        <v>9</v>
      </c>
      <c r="G194" s="153">
        <v>53</v>
      </c>
      <c r="H194" s="154">
        <f t="shared" si="50"/>
        <v>7.9978862239830235</v>
      </c>
      <c r="I194" s="154">
        <f t="shared" si="63"/>
        <v>6.1587610034538516</v>
      </c>
      <c r="J194" s="105">
        <f t="shared" si="51"/>
        <v>326.41433318305411</v>
      </c>
      <c r="K194" s="155">
        <f t="shared" si="45"/>
        <v>423.88796987110027</v>
      </c>
      <c r="L194" s="156">
        <f t="shared" si="65"/>
        <v>-97.473636688046156</v>
      </c>
      <c r="M194" s="105">
        <f t="shared" si="52"/>
        <v>-6.9800083290213273</v>
      </c>
      <c r="N194" s="157">
        <f t="shared" si="53"/>
        <v>-104.45364501706749</v>
      </c>
      <c r="O194" s="105">
        <f t="shared" si="54"/>
        <v>0</v>
      </c>
      <c r="P194" s="105">
        <f t="shared" si="55"/>
        <v>0</v>
      </c>
      <c r="Q194" s="105">
        <v>0</v>
      </c>
      <c r="R194" s="157">
        <f t="shared" si="56"/>
        <v>-104.45364501706749</v>
      </c>
    </row>
    <row r="195" spans="1:18" x14ac:dyDescent="0.2">
      <c r="A195" s="87">
        <v>8</v>
      </c>
      <c r="B195" s="151">
        <f t="shared" si="49"/>
        <v>45870</v>
      </c>
      <c r="C195" s="167">
        <f t="shared" si="64"/>
        <v>45904</v>
      </c>
      <c r="D195" s="167">
        <f t="shared" si="64"/>
        <v>45924</v>
      </c>
      <c r="E195" s="1" t="s">
        <v>58</v>
      </c>
      <c r="F195" s="87">
        <v>9</v>
      </c>
      <c r="G195" s="153">
        <v>52</v>
      </c>
      <c r="H195" s="154">
        <f t="shared" si="50"/>
        <v>7.9978862239830235</v>
      </c>
      <c r="I195" s="154">
        <f t="shared" si="63"/>
        <v>6.1587610034538516</v>
      </c>
      <c r="J195" s="105">
        <f t="shared" si="51"/>
        <v>320.25557217960028</v>
      </c>
      <c r="K195" s="155">
        <f t="shared" si="45"/>
        <v>415.89008364711719</v>
      </c>
      <c r="L195" s="156">
        <f t="shared" si="65"/>
        <v>-95.634511467516916</v>
      </c>
      <c r="M195" s="105">
        <f t="shared" si="52"/>
        <v>-6.8483100586624337</v>
      </c>
      <c r="N195" s="157">
        <f t="shared" si="53"/>
        <v>-102.48282152617935</v>
      </c>
      <c r="O195" s="105">
        <f t="shared" si="54"/>
        <v>0</v>
      </c>
      <c r="P195" s="105">
        <f t="shared" si="55"/>
        <v>0</v>
      </c>
      <c r="Q195" s="105">
        <v>0</v>
      </c>
      <c r="R195" s="157">
        <f t="shared" si="56"/>
        <v>-102.48282152617935</v>
      </c>
    </row>
    <row r="196" spans="1:18" x14ac:dyDescent="0.2">
      <c r="A196" s="87">
        <v>9</v>
      </c>
      <c r="B196" s="151">
        <f t="shared" si="49"/>
        <v>45901</v>
      </c>
      <c r="C196" s="167">
        <f t="shared" si="64"/>
        <v>45933</v>
      </c>
      <c r="D196" s="167">
        <f t="shared" si="64"/>
        <v>45954</v>
      </c>
      <c r="E196" s="1" t="s">
        <v>58</v>
      </c>
      <c r="F196" s="87">
        <v>9</v>
      </c>
      <c r="G196" s="153">
        <v>45</v>
      </c>
      <c r="H196" s="154">
        <f t="shared" si="50"/>
        <v>7.9978862239830235</v>
      </c>
      <c r="I196" s="154">
        <f t="shared" si="63"/>
        <v>6.1587610034538516</v>
      </c>
      <c r="J196" s="105">
        <f t="shared" si="51"/>
        <v>277.14424515542333</v>
      </c>
      <c r="K196" s="155">
        <f t="shared" si="45"/>
        <v>359.90488007923608</v>
      </c>
      <c r="L196" s="156">
        <f t="shared" si="65"/>
        <v>-82.760634923812745</v>
      </c>
      <c r="M196" s="105">
        <f t="shared" si="52"/>
        <v>-5.926422166150183</v>
      </c>
      <c r="N196" s="157">
        <f t="shared" si="53"/>
        <v>-88.687057089962934</v>
      </c>
      <c r="O196" s="105">
        <f t="shared" si="54"/>
        <v>0</v>
      </c>
      <c r="P196" s="105">
        <f t="shared" si="55"/>
        <v>0</v>
      </c>
      <c r="Q196" s="105">
        <v>0</v>
      </c>
      <c r="R196" s="157">
        <f t="shared" si="56"/>
        <v>-88.687057089962934</v>
      </c>
    </row>
    <row r="197" spans="1:18" x14ac:dyDescent="0.2">
      <c r="A197" s="87">
        <v>10</v>
      </c>
      <c r="B197" s="151">
        <f t="shared" si="49"/>
        <v>45931</v>
      </c>
      <c r="C197" s="167">
        <f t="shared" si="64"/>
        <v>45966</v>
      </c>
      <c r="D197" s="167">
        <f t="shared" si="64"/>
        <v>45985</v>
      </c>
      <c r="E197" s="1" t="s">
        <v>58</v>
      </c>
      <c r="F197" s="87">
        <v>9</v>
      </c>
      <c r="G197" s="153">
        <v>41</v>
      </c>
      <c r="H197" s="154">
        <f t="shared" si="50"/>
        <v>7.9978862239830235</v>
      </c>
      <c r="I197" s="154">
        <f t="shared" si="63"/>
        <v>6.1587610034538516</v>
      </c>
      <c r="J197" s="105">
        <f t="shared" si="51"/>
        <v>252.50920114160792</v>
      </c>
      <c r="K197" s="155">
        <f t="shared" si="45"/>
        <v>327.91333518330396</v>
      </c>
      <c r="L197" s="156">
        <f t="shared" si="65"/>
        <v>-75.40413404169604</v>
      </c>
      <c r="M197" s="105">
        <f t="shared" si="52"/>
        <v>-5.3996290847146113</v>
      </c>
      <c r="N197" s="157">
        <f t="shared" si="53"/>
        <v>-80.803763126410644</v>
      </c>
      <c r="O197" s="105">
        <f t="shared" si="54"/>
        <v>0</v>
      </c>
      <c r="P197" s="105">
        <f t="shared" si="55"/>
        <v>0</v>
      </c>
      <c r="Q197" s="105">
        <v>0</v>
      </c>
      <c r="R197" s="157">
        <f t="shared" si="56"/>
        <v>-80.803763126410644</v>
      </c>
    </row>
    <row r="198" spans="1:18" x14ac:dyDescent="0.2">
      <c r="A198" s="87">
        <v>11</v>
      </c>
      <c r="B198" s="151">
        <f t="shared" si="49"/>
        <v>45962</v>
      </c>
      <c r="C198" s="167">
        <f t="shared" si="64"/>
        <v>45994</v>
      </c>
      <c r="D198" s="167">
        <f t="shared" si="64"/>
        <v>46015</v>
      </c>
      <c r="E198" s="1" t="s">
        <v>58</v>
      </c>
      <c r="F198" s="87">
        <v>9</v>
      </c>
      <c r="G198" s="153">
        <v>29</v>
      </c>
      <c r="H198" s="154">
        <f t="shared" si="50"/>
        <v>7.9978862239830235</v>
      </c>
      <c r="I198" s="154">
        <f t="shared" si="63"/>
        <v>6.1587610034538516</v>
      </c>
      <c r="J198" s="105">
        <f t="shared" si="51"/>
        <v>178.60406910016169</v>
      </c>
      <c r="K198" s="155">
        <f t="shared" ref="K198:K209" si="66">+$G198*H198</f>
        <v>231.93870049550767</v>
      </c>
      <c r="L198" s="156">
        <f t="shared" si="65"/>
        <v>-53.33463139534598</v>
      </c>
      <c r="M198" s="105">
        <f t="shared" si="52"/>
        <v>-3.8192498404078958</v>
      </c>
      <c r="N198" s="157">
        <f t="shared" si="53"/>
        <v>-57.153881235753879</v>
      </c>
      <c r="O198" s="105">
        <f t="shared" si="54"/>
        <v>0</v>
      </c>
      <c r="P198" s="105">
        <f t="shared" si="55"/>
        <v>0</v>
      </c>
      <c r="Q198" s="105">
        <v>0</v>
      </c>
      <c r="R198" s="157">
        <f t="shared" si="56"/>
        <v>-57.153881235753879</v>
      </c>
    </row>
    <row r="199" spans="1:18" s="171" customFormat="1" x14ac:dyDescent="0.2">
      <c r="A199" s="87">
        <v>12</v>
      </c>
      <c r="B199" s="169">
        <f t="shared" si="49"/>
        <v>45992</v>
      </c>
      <c r="C199" s="167">
        <f t="shared" si="64"/>
        <v>46028</v>
      </c>
      <c r="D199" s="167">
        <f t="shared" si="64"/>
        <v>46048</v>
      </c>
      <c r="E199" s="170" t="s">
        <v>58</v>
      </c>
      <c r="F199" s="128">
        <v>9</v>
      </c>
      <c r="G199" s="191">
        <v>36</v>
      </c>
      <c r="H199" s="159">
        <f t="shared" si="50"/>
        <v>7.9978862239830235</v>
      </c>
      <c r="I199" s="159">
        <f t="shared" si="63"/>
        <v>6.1587610034538516</v>
      </c>
      <c r="J199" s="160">
        <f t="shared" si="51"/>
        <v>221.71539612433867</v>
      </c>
      <c r="K199" s="161">
        <f t="shared" si="66"/>
        <v>287.92390406338882</v>
      </c>
      <c r="L199" s="162">
        <f t="shared" si="65"/>
        <v>-66.208507939050151</v>
      </c>
      <c r="M199" s="160">
        <f t="shared" si="52"/>
        <v>-4.7411377329201461</v>
      </c>
      <c r="N199" s="192">
        <f t="shared" si="53"/>
        <v>-70.949645671970302</v>
      </c>
      <c r="O199" s="160">
        <f t="shared" si="54"/>
        <v>0</v>
      </c>
      <c r="P199" s="160">
        <f t="shared" si="55"/>
        <v>0</v>
      </c>
      <c r="Q199" s="160">
        <v>0</v>
      </c>
      <c r="R199" s="192">
        <f t="shared" si="56"/>
        <v>-70.949645671970302</v>
      </c>
    </row>
    <row r="200" spans="1:18" x14ac:dyDescent="0.2">
      <c r="A200" s="87">
        <v>1</v>
      </c>
      <c r="B200" s="151">
        <f t="shared" si="49"/>
        <v>45658</v>
      </c>
      <c r="C200" s="164">
        <f t="shared" si="64"/>
        <v>45693</v>
      </c>
      <c r="D200" s="164">
        <f t="shared" si="64"/>
        <v>45712</v>
      </c>
      <c r="E200" s="152" t="s">
        <v>17</v>
      </c>
      <c r="F200" s="87">
        <v>9</v>
      </c>
      <c r="G200" s="153">
        <v>106</v>
      </c>
      <c r="H200" s="154">
        <f t="shared" si="50"/>
        <v>7.9978862239830235</v>
      </c>
      <c r="I200" s="154">
        <f t="shared" si="63"/>
        <v>6.1587610034538516</v>
      </c>
      <c r="J200" s="105">
        <f t="shared" si="51"/>
        <v>652.82866636610822</v>
      </c>
      <c r="K200" s="155">
        <f t="shared" si="66"/>
        <v>847.77593974220053</v>
      </c>
      <c r="L200" s="156">
        <f t="shared" si="65"/>
        <v>-194.94727337609231</v>
      </c>
      <c r="M200" s="105">
        <f t="shared" si="52"/>
        <v>-13.960016658042655</v>
      </c>
      <c r="N200" s="157">
        <f t="shared" si="53"/>
        <v>-208.90729003413497</v>
      </c>
      <c r="O200" s="105">
        <f t="shared" si="54"/>
        <v>0</v>
      </c>
      <c r="P200" s="105">
        <f t="shared" si="55"/>
        <v>0</v>
      </c>
      <c r="Q200" s="105">
        <v>0</v>
      </c>
      <c r="R200" s="157">
        <f t="shared" si="56"/>
        <v>-208.90729003413497</v>
      </c>
    </row>
    <row r="201" spans="1:18" x14ac:dyDescent="0.2">
      <c r="A201" s="87">
        <v>2</v>
      </c>
      <c r="B201" s="151">
        <f t="shared" si="49"/>
        <v>45689</v>
      </c>
      <c r="C201" s="167">
        <f t="shared" si="64"/>
        <v>45721</v>
      </c>
      <c r="D201" s="167">
        <f t="shared" si="64"/>
        <v>45740</v>
      </c>
      <c r="E201" s="158" t="s">
        <v>17</v>
      </c>
      <c r="F201" s="87">
        <v>9</v>
      </c>
      <c r="G201" s="153">
        <v>102</v>
      </c>
      <c r="H201" s="154">
        <f t="shared" si="50"/>
        <v>7.9978862239830235</v>
      </c>
      <c r="I201" s="154">
        <f t="shared" si="63"/>
        <v>6.1587610034538516</v>
      </c>
      <c r="J201" s="105">
        <f t="shared" si="51"/>
        <v>628.19362235229289</v>
      </c>
      <c r="K201" s="155">
        <f t="shared" si="66"/>
        <v>815.78439484626836</v>
      </c>
      <c r="L201" s="156">
        <f t="shared" si="65"/>
        <v>-187.59077249397546</v>
      </c>
      <c r="M201" s="105">
        <f t="shared" si="52"/>
        <v>-13.433223576607082</v>
      </c>
      <c r="N201" s="157">
        <f t="shared" si="53"/>
        <v>-201.02399607058254</v>
      </c>
      <c r="O201" s="105">
        <f t="shared" si="54"/>
        <v>0</v>
      </c>
      <c r="P201" s="105">
        <f t="shared" si="55"/>
        <v>0</v>
      </c>
      <c r="Q201" s="105">
        <v>0</v>
      </c>
      <c r="R201" s="157">
        <f t="shared" si="56"/>
        <v>-201.02399607058254</v>
      </c>
    </row>
    <row r="202" spans="1:18" x14ac:dyDescent="0.2">
      <c r="A202" s="87">
        <v>3</v>
      </c>
      <c r="B202" s="151">
        <f t="shared" si="49"/>
        <v>45717</v>
      </c>
      <c r="C202" s="167">
        <f t="shared" si="64"/>
        <v>45750</v>
      </c>
      <c r="D202" s="167">
        <f t="shared" si="64"/>
        <v>45771</v>
      </c>
      <c r="E202" s="158" t="s">
        <v>17</v>
      </c>
      <c r="F202" s="87">
        <v>9</v>
      </c>
      <c r="G202" s="153">
        <v>100</v>
      </c>
      <c r="H202" s="154">
        <f t="shared" si="50"/>
        <v>7.9978862239830235</v>
      </c>
      <c r="I202" s="154">
        <f t="shared" si="63"/>
        <v>6.1587610034538516</v>
      </c>
      <c r="J202" s="105">
        <f t="shared" si="51"/>
        <v>615.87610034538511</v>
      </c>
      <c r="K202" s="155">
        <f t="shared" si="66"/>
        <v>799.78862239830232</v>
      </c>
      <c r="L202" s="156">
        <f>+J202-K202</f>
        <v>-183.91252205291721</v>
      </c>
      <c r="M202" s="105">
        <f t="shared" si="52"/>
        <v>-13.169827035889297</v>
      </c>
      <c r="N202" s="157">
        <f t="shared" si="53"/>
        <v>-197.0823490888065</v>
      </c>
      <c r="O202" s="105">
        <f t="shared" si="54"/>
        <v>0</v>
      </c>
      <c r="P202" s="105">
        <f t="shared" si="55"/>
        <v>0</v>
      </c>
      <c r="Q202" s="105">
        <v>0</v>
      </c>
      <c r="R202" s="157">
        <f t="shared" si="56"/>
        <v>-197.0823490888065</v>
      </c>
    </row>
    <row r="203" spans="1:18" x14ac:dyDescent="0.2">
      <c r="A203" s="87">
        <v>4</v>
      </c>
      <c r="B203" s="151">
        <f t="shared" si="49"/>
        <v>45748</v>
      </c>
      <c r="C203" s="167">
        <f t="shared" si="64"/>
        <v>45782</v>
      </c>
      <c r="D203" s="167">
        <f t="shared" si="64"/>
        <v>45803</v>
      </c>
      <c r="E203" s="158" t="s">
        <v>17</v>
      </c>
      <c r="F203" s="87">
        <v>9</v>
      </c>
      <c r="G203" s="153">
        <v>60</v>
      </c>
      <c r="H203" s="154">
        <f t="shared" si="50"/>
        <v>7.9978862239830235</v>
      </c>
      <c r="I203" s="154">
        <f t="shared" si="63"/>
        <v>6.1587610034538516</v>
      </c>
      <c r="J203" s="105">
        <f t="shared" si="51"/>
        <v>369.52566020723111</v>
      </c>
      <c r="K203" s="155">
        <f t="shared" si="66"/>
        <v>479.87317343898144</v>
      </c>
      <c r="L203" s="156">
        <f t="shared" ref="L203:L211" si="67">+J203-K203</f>
        <v>-110.34751323175033</v>
      </c>
      <c r="M203" s="105">
        <f t="shared" si="52"/>
        <v>-7.9018962215335771</v>
      </c>
      <c r="N203" s="157">
        <f t="shared" si="53"/>
        <v>-118.2494094532839</v>
      </c>
      <c r="O203" s="105">
        <f t="shared" si="54"/>
        <v>0</v>
      </c>
      <c r="P203" s="105">
        <f t="shared" si="55"/>
        <v>0</v>
      </c>
      <c r="Q203" s="105">
        <v>0</v>
      </c>
      <c r="R203" s="157">
        <f t="shared" si="56"/>
        <v>-118.2494094532839</v>
      </c>
    </row>
    <row r="204" spans="1:18" x14ac:dyDescent="0.2">
      <c r="A204" s="87">
        <v>5</v>
      </c>
      <c r="B204" s="151">
        <f t="shared" si="49"/>
        <v>45778</v>
      </c>
      <c r="C204" s="167">
        <f t="shared" si="64"/>
        <v>45812</v>
      </c>
      <c r="D204" s="167">
        <f t="shared" si="64"/>
        <v>45832</v>
      </c>
      <c r="E204" s="1" t="s">
        <v>17</v>
      </c>
      <c r="F204" s="87">
        <v>9</v>
      </c>
      <c r="G204" s="153">
        <v>96</v>
      </c>
      <c r="H204" s="154">
        <f t="shared" si="50"/>
        <v>7.9978862239830235</v>
      </c>
      <c r="I204" s="154">
        <f t="shared" si="63"/>
        <v>6.1587610034538516</v>
      </c>
      <c r="J204" s="105">
        <f t="shared" si="51"/>
        <v>591.24105633156978</v>
      </c>
      <c r="K204" s="155">
        <f t="shared" si="66"/>
        <v>767.79707750237026</v>
      </c>
      <c r="L204" s="156">
        <f t="shared" si="67"/>
        <v>-176.55602117080048</v>
      </c>
      <c r="M204" s="105">
        <f t="shared" si="52"/>
        <v>-12.643033954453726</v>
      </c>
      <c r="N204" s="157">
        <f t="shared" si="53"/>
        <v>-189.1990551252542</v>
      </c>
      <c r="O204" s="105">
        <f t="shared" si="54"/>
        <v>0</v>
      </c>
      <c r="P204" s="105">
        <f t="shared" si="55"/>
        <v>0</v>
      </c>
      <c r="Q204" s="105">
        <v>0</v>
      </c>
      <c r="R204" s="157">
        <f t="shared" si="56"/>
        <v>-189.1990551252542</v>
      </c>
    </row>
    <row r="205" spans="1:18" x14ac:dyDescent="0.2">
      <c r="A205" s="87">
        <v>6</v>
      </c>
      <c r="B205" s="151">
        <f t="shared" si="49"/>
        <v>45809</v>
      </c>
      <c r="C205" s="167">
        <f t="shared" si="64"/>
        <v>45841</v>
      </c>
      <c r="D205" s="167">
        <f t="shared" si="64"/>
        <v>45862</v>
      </c>
      <c r="E205" s="1" t="s">
        <v>17</v>
      </c>
      <c r="F205" s="87">
        <v>9</v>
      </c>
      <c r="G205" s="153">
        <v>119</v>
      </c>
      <c r="H205" s="154">
        <f t="shared" si="50"/>
        <v>7.9978862239830235</v>
      </c>
      <c r="I205" s="154">
        <f t="shared" si="63"/>
        <v>6.1587610034538516</v>
      </c>
      <c r="J205" s="105">
        <f t="shared" si="51"/>
        <v>732.89255941100839</v>
      </c>
      <c r="K205" s="155">
        <f t="shared" si="66"/>
        <v>951.74846065397981</v>
      </c>
      <c r="L205" s="156">
        <f t="shared" si="67"/>
        <v>-218.85590124297141</v>
      </c>
      <c r="M205" s="105">
        <f t="shared" si="52"/>
        <v>-15.672094172708261</v>
      </c>
      <c r="N205" s="157">
        <f t="shared" si="53"/>
        <v>-234.52799541567967</v>
      </c>
      <c r="O205" s="105">
        <f t="shared" si="54"/>
        <v>0</v>
      </c>
      <c r="P205" s="105">
        <f t="shared" si="55"/>
        <v>0</v>
      </c>
      <c r="Q205" s="105">
        <v>0</v>
      </c>
      <c r="R205" s="157">
        <f t="shared" si="56"/>
        <v>-234.52799541567967</v>
      </c>
    </row>
    <row r="206" spans="1:18" x14ac:dyDescent="0.2">
      <c r="A206" s="87">
        <v>7</v>
      </c>
      <c r="B206" s="151">
        <f t="shared" si="49"/>
        <v>45839</v>
      </c>
      <c r="C206" s="167">
        <f t="shared" si="64"/>
        <v>45874</v>
      </c>
      <c r="D206" s="167">
        <f t="shared" si="64"/>
        <v>45894</v>
      </c>
      <c r="E206" s="1" t="s">
        <v>17</v>
      </c>
      <c r="F206" s="87">
        <v>9</v>
      </c>
      <c r="G206" s="153">
        <v>118</v>
      </c>
      <c r="H206" s="154">
        <f t="shared" si="50"/>
        <v>7.9978862239830235</v>
      </c>
      <c r="I206" s="154">
        <f t="shared" si="63"/>
        <v>6.1587610034538516</v>
      </c>
      <c r="J206" s="105">
        <f t="shared" si="51"/>
        <v>726.73379840755445</v>
      </c>
      <c r="K206" s="155">
        <f t="shared" si="66"/>
        <v>943.75057442999673</v>
      </c>
      <c r="L206" s="156">
        <f t="shared" si="67"/>
        <v>-217.01677602244229</v>
      </c>
      <c r="M206" s="105">
        <f t="shared" si="52"/>
        <v>-15.540395902349371</v>
      </c>
      <c r="N206" s="157">
        <f t="shared" si="53"/>
        <v>-232.55717192479165</v>
      </c>
      <c r="O206" s="105">
        <f t="shared" si="54"/>
        <v>0</v>
      </c>
      <c r="P206" s="105">
        <f t="shared" si="55"/>
        <v>0</v>
      </c>
      <c r="Q206" s="105">
        <v>0</v>
      </c>
      <c r="R206" s="157">
        <f t="shared" si="56"/>
        <v>-232.55717192479165</v>
      </c>
    </row>
    <row r="207" spans="1:18" x14ac:dyDescent="0.2">
      <c r="A207" s="87">
        <v>8</v>
      </c>
      <c r="B207" s="151">
        <f t="shared" si="49"/>
        <v>45870</v>
      </c>
      <c r="C207" s="167">
        <f t="shared" si="64"/>
        <v>45904</v>
      </c>
      <c r="D207" s="167">
        <f t="shared" si="64"/>
        <v>45924</v>
      </c>
      <c r="E207" s="1" t="s">
        <v>17</v>
      </c>
      <c r="F207" s="87">
        <v>9</v>
      </c>
      <c r="G207" s="153">
        <v>119</v>
      </c>
      <c r="H207" s="154">
        <f t="shared" si="50"/>
        <v>7.9978862239830235</v>
      </c>
      <c r="I207" s="154">
        <f t="shared" si="63"/>
        <v>6.1587610034538516</v>
      </c>
      <c r="J207" s="105">
        <f t="shared" si="51"/>
        <v>732.89255941100839</v>
      </c>
      <c r="K207" s="155">
        <f t="shared" si="66"/>
        <v>951.74846065397981</v>
      </c>
      <c r="L207" s="156">
        <f t="shared" si="67"/>
        <v>-218.85590124297141</v>
      </c>
      <c r="M207" s="105">
        <f t="shared" si="52"/>
        <v>-15.672094172708261</v>
      </c>
      <c r="N207" s="157">
        <f t="shared" si="53"/>
        <v>-234.52799541567967</v>
      </c>
      <c r="O207" s="105">
        <f t="shared" si="54"/>
        <v>0</v>
      </c>
      <c r="P207" s="105">
        <f t="shared" si="55"/>
        <v>0</v>
      </c>
      <c r="Q207" s="105">
        <v>0</v>
      </c>
      <c r="R207" s="157">
        <f t="shared" si="56"/>
        <v>-234.52799541567967</v>
      </c>
    </row>
    <row r="208" spans="1:18" x14ac:dyDescent="0.2">
      <c r="A208" s="87">
        <v>9</v>
      </c>
      <c r="B208" s="151">
        <f t="shared" si="49"/>
        <v>45901</v>
      </c>
      <c r="C208" s="167">
        <f t="shared" si="64"/>
        <v>45933</v>
      </c>
      <c r="D208" s="167">
        <f t="shared" si="64"/>
        <v>45954</v>
      </c>
      <c r="E208" s="1" t="s">
        <v>17</v>
      </c>
      <c r="F208" s="87">
        <v>9</v>
      </c>
      <c r="G208" s="153">
        <v>101</v>
      </c>
      <c r="H208" s="154">
        <f t="shared" si="50"/>
        <v>7.9978862239830235</v>
      </c>
      <c r="I208" s="154">
        <f t="shared" si="63"/>
        <v>6.1587610034538516</v>
      </c>
      <c r="J208" s="105">
        <f t="shared" si="51"/>
        <v>622.03486134883906</v>
      </c>
      <c r="K208" s="155">
        <f t="shared" si="66"/>
        <v>807.7865086222854</v>
      </c>
      <c r="L208" s="156">
        <f t="shared" si="67"/>
        <v>-185.75164727344634</v>
      </c>
      <c r="M208" s="105">
        <f t="shared" si="52"/>
        <v>-13.301525306248189</v>
      </c>
      <c r="N208" s="157">
        <f t="shared" si="53"/>
        <v>-199.05317257969452</v>
      </c>
      <c r="O208" s="105">
        <f t="shared" si="54"/>
        <v>0</v>
      </c>
      <c r="P208" s="105">
        <f t="shared" si="55"/>
        <v>0</v>
      </c>
      <c r="Q208" s="105">
        <v>0</v>
      </c>
      <c r="R208" s="157">
        <f t="shared" si="56"/>
        <v>-199.05317257969452</v>
      </c>
    </row>
    <row r="209" spans="1:18" x14ac:dyDescent="0.2">
      <c r="A209" s="87">
        <v>10</v>
      </c>
      <c r="B209" s="151">
        <f t="shared" si="49"/>
        <v>45931</v>
      </c>
      <c r="C209" s="167">
        <f t="shared" si="64"/>
        <v>45966</v>
      </c>
      <c r="D209" s="167">
        <f t="shared" si="64"/>
        <v>45985</v>
      </c>
      <c r="E209" s="1" t="s">
        <v>17</v>
      </c>
      <c r="F209" s="87">
        <v>9</v>
      </c>
      <c r="G209" s="153">
        <v>106</v>
      </c>
      <c r="H209" s="154">
        <f t="shared" si="50"/>
        <v>7.9978862239830235</v>
      </c>
      <c r="I209" s="154">
        <f t="shared" si="63"/>
        <v>6.1587610034538516</v>
      </c>
      <c r="J209" s="105">
        <f t="shared" si="51"/>
        <v>652.82866636610822</v>
      </c>
      <c r="K209" s="155">
        <f t="shared" si="66"/>
        <v>847.77593974220053</v>
      </c>
      <c r="L209" s="156">
        <f t="shared" si="67"/>
        <v>-194.94727337609231</v>
      </c>
      <c r="M209" s="105">
        <f t="shared" si="52"/>
        <v>-13.960016658042655</v>
      </c>
      <c r="N209" s="157">
        <f t="shared" si="53"/>
        <v>-208.90729003413497</v>
      </c>
      <c r="O209" s="105">
        <f t="shared" si="54"/>
        <v>0</v>
      </c>
      <c r="P209" s="105">
        <f t="shared" si="55"/>
        <v>0</v>
      </c>
      <c r="Q209" s="105">
        <v>0</v>
      </c>
      <c r="R209" s="157">
        <f t="shared" si="56"/>
        <v>-208.90729003413497</v>
      </c>
    </row>
    <row r="210" spans="1:18" x14ac:dyDescent="0.2">
      <c r="A210" s="87">
        <v>11</v>
      </c>
      <c r="B210" s="151">
        <f t="shared" si="49"/>
        <v>45962</v>
      </c>
      <c r="C210" s="167">
        <f t="shared" si="64"/>
        <v>45994</v>
      </c>
      <c r="D210" s="167">
        <f t="shared" si="64"/>
        <v>46015</v>
      </c>
      <c r="E210" s="1" t="s">
        <v>17</v>
      </c>
      <c r="F210" s="87">
        <v>9</v>
      </c>
      <c r="G210" s="153">
        <v>35</v>
      </c>
      <c r="H210" s="154">
        <f t="shared" si="50"/>
        <v>7.9978862239830235</v>
      </c>
      <c r="I210" s="154">
        <f t="shared" si="63"/>
        <v>6.1587610034538516</v>
      </c>
      <c r="J210" s="105">
        <f t="shared" si="51"/>
        <v>215.55663512088481</v>
      </c>
      <c r="K210" s="155">
        <f>+$G210*H210</f>
        <v>279.9260178394058</v>
      </c>
      <c r="L210" s="156">
        <f t="shared" si="67"/>
        <v>-64.369382718520995</v>
      </c>
      <c r="M210" s="105">
        <f t="shared" si="52"/>
        <v>-4.6094394625612534</v>
      </c>
      <c r="N210" s="157">
        <f t="shared" si="53"/>
        <v>-68.978822181082251</v>
      </c>
      <c r="O210" s="105">
        <f t="shared" si="54"/>
        <v>0</v>
      </c>
      <c r="P210" s="105">
        <f t="shared" si="55"/>
        <v>0</v>
      </c>
      <c r="Q210" s="105">
        <v>0</v>
      </c>
      <c r="R210" s="157">
        <f t="shared" si="56"/>
        <v>-68.978822181082251</v>
      </c>
    </row>
    <row r="211" spans="1:18" s="171" customFormat="1" x14ac:dyDescent="0.2">
      <c r="A211" s="87">
        <v>12</v>
      </c>
      <c r="B211" s="169">
        <f t="shared" si="49"/>
        <v>45992</v>
      </c>
      <c r="C211" s="172">
        <f t="shared" si="64"/>
        <v>46028</v>
      </c>
      <c r="D211" s="172">
        <f t="shared" si="64"/>
        <v>46048</v>
      </c>
      <c r="E211" s="170" t="s">
        <v>17</v>
      </c>
      <c r="F211" s="128">
        <v>9</v>
      </c>
      <c r="G211" s="191">
        <v>103</v>
      </c>
      <c r="H211" s="159">
        <f t="shared" si="50"/>
        <v>7.9978862239830235</v>
      </c>
      <c r="I211" s="159">
        <f t="shared" si="63"/>
        <v>6.1587610034538516</v>
      </c>
      <c r="J211" s="160">
        <f t="shared" si="51"/>
        <v>634.35238335574672</v>
      </c>
      <c r="K211" s="161">
        <f>+$G211*H211</f>
        <v>823.78228107025143</v>
      </c>
      <c r="L211" s="162">
        <f t="shared" si="67"/>
        <v>-189.4298977145047</v>
      </c>
      <c r="M211" s="160">
        <f t="shared" si="52"/>
        <v>-13.564921846965975</v>
      </c>
      <c r="N211" s="192">
        <f t="shared" si="53"/>
        <v>-202.99481956147068</v>
      </c>
      <c r="O211" s="160">
        <f t="shared" si="54"/>
        <v>0</v>
      </c>
      <c r="P211" s="177">
        <f t="shared" si="55"/>
        <v>0</v>
      </c>
      <c r="Q211" s="160">
        <v>0</v>
      </c>
      <c r="R211" s="192">
        <f t="shared" si="56"/>
        <v>-202.99481956147068</v>
      </c>
    </row>
    <row r="212" spans="1:18" x14ac:dyDescent="0.2">
      <c r="G212" s="178">
        <f>SUM(G20:G211)</f>
        <v>105873</v>
      </c>
      <c r="H212" s="45"/>
      <c r="J212" s="45">
        <f>SUM(J20:J211)</f>
        <v>652046.50371866953</v>
      </c>
      <c r="K212" s="45">
        <f>SUM(K20:K211)</f>
        <v>846760.20819175499</v>
      </c>
      <c r="L212" s="45">
        <f>SUM(L20:L211)</f>
        <v>-194713.70447308512</v>
      </c>
      <c r="M212" s="45">
        <f>SUM(M20:M211)</f>
        <v>-13943.290977707074</v>
      </c>
      <c r="N212" s="45"/>
      <c r="O212" s="45"/>
      <c r="P212" s="45">
        <f>SUM(P20:P211)</f>
        <v>0</v>
      </c>
      <c r="Q212" s="45"/>
      <c r="R212" s="179">
        <f>SUM(R20:R211)</f>
        <v>-208656.99545079199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Width="2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3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NjozMy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zo1NSBQTTwvRGF0ZVRpbWU+PExhYmVsU3RyaW5nPkFFUCBJbnRlcm5hbDwvTGFiZWxTdHJpbmc+PC9pdGVtPjwvbGFiZWxIaXN0b3J5Pg==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7AAADE0C-48BE-4939-8422-C5ECC3837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26632-CAB5-46A0-8182-D7ABE6697302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DB602648-4C77-4990-94F7-6C9A49714C17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976A1EF5-EC59-4CEA-BE4C-319478AF3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BCD38BD-5368-42DA-818A-025872A3F61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2023-05-25T11:54:55Z</cp:lastPrinted>
  <dcterms:created xsi:type="dcterms:W3CDTF">2009-09-04T18:19:13Z</dcterms:created>
  <dcterms:modified xsi:type="dcterms:W3CDTF">2026-05-21T19:15:21Z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34117f76-9879-4d8e-89bd-ac1b4323c64e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{DB602648-4C77-4990-94F7-6C9A49714C17}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